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+General\BLOG PDI\"/>
    </mc:Choice>
  </mc:AlternateContent>
  <bookViews>
    <workbookView xWindow="0" yWindow="0" windowWidth="28800" windowHeight="12300" tabRatio="859" activeTab="7"/>
  </bookViews>
  <sheets>
    <sheet name="INVESTIGADOR SENIOR" sheetId="7" r:id="rId1"/>
    <sheet name="INVESTIGADOR JUNIOR" sheetId="13" r:id="rId2"/>
    <sheet name="INVEST.EN FORMACIÓN-PRÁCTICAS" sheetId="14" r:id="rId3"/>
    <sheet name="TITULADOS SUPERIORES I" sheetId="12" r:id="rId4"/>
    <sheet name="TITULADOS SUPERIORES II" sheetId="11" r:id="rId5"/>
    <sheet name="TITULADOS DE GRADO MEDIO" sheetId="5" r:id="rId6"/>
    <sheet name="ESPECIALISTAS TECNICOS" sheetId="4" r:id="rId7"/>
    <sheet name="AUXILIARES" sheetId="2" r:id="rId8"/>
    <sheet name="PARAMETROS" sheetId="3" state="hidden" r:id="rId9"/>
  </sheets>
  <definedNames>
    <definedName name="_xlnm.Print_Area" localSheetId="7">AUXILIARES!$A$2:$D$42</definedName>
    <definedName name="_xlnm.Print_Area" localSheetId="2">'INVEST.EN FORMACIÓN-PRÁCTICAS'!$A$2:$C$10</definedName>
    <definedName name="_xlnm.Print_Area" localSheetId="1">'INVESTIGADOR JUNIOR'!$A$2:$G$43</definedName>
    <definedName name="_xlnm.Print_Area" localSheetId="0">'INVESTIGADOR SENIOR'!$A$2:$G$41</definedName>
    <definedName name="_xlnm.Print_Area" localSheetId="5">'TITULADOS DE GRADO MEDIO'!$A$2:$G$43</definedName>
    <definedName name="_xlnm.Print_Area" localSheetId="3">'TITULADOS SUPERIORES I'!$A$2:$G$43</definedName>
    <definedName name="_xlnm.Print_Area" localSheetId="4">'TITULADOS SUPERIORES II'!$A$2:$G$43</definedName>
    <definedName name="RETRIBUCION">#REF!</definedName>
    <definedName name="_xlnm.Print_Titles" localSheetId="7">AUXILIARES!$2:$2</definedName>
    <definedName name="_xlnm.Print_Titles" localSheetId="2">'INVEST.EN FORMACIÓN-PRÁCTICAS'!$2:$3</definedName>
    <definedName name="_xlnm.Print_Titles" localSheetId="1">'INVESTIGADOR JUNIOR'!$2:$3</definedName>
    <definedName name="_xlnm.Print_Titles" localSheetId="0">'INVESTIGADOR SENIOR'!$2:$3</definedName>
    <definedName name="_xlnm.Print_Titles" localSheetId="5">'TITULADOS DE GRADO MEDIO'!$2:$3</definedName>
    <definedName name="_xlnm.Print_Titles" localSheetId="3">'TITULADOS SUPERIORES I'!$2:$3</definedName>
    <definedName name="_xlnm.Print_Titles" localSheetId="4">'TITULADOS SUPERIORES II'!$2:$3</definedName>
  </definedNames>
  <calcPr calcId="162913"/>
</workbook>
</file>

<file path=xl/calcChain.xml><?xml version="1.0" encoding="utf-8"?>
<calcChain xmlns="http://schemas.openxmlformats.org/spreadsheetml/2006/main">
  <c r="F32" i="3" l="1"/>
  <c r="F20" i="3"/>
  <c r="E64" i="3" l="1"/>
  <c r="E63" i="3"/>
  <c r="E62" i="3"/>
  <c r="D64" i="3"/>
  <c r="D63" i="3"/>
  <c r="D62" i="3"/>
  <c r="E59" i="3"/>
  <c r="E58" i="3"/>
  <c r="D59" i="3"/>
  <c r="D58" i="3"/>
  <c r="F29" i="3" l="1"/>
  <c r="F17" i="3"/>
  <c r="G22" i="14" l="1"/>
  <c r="I22" i="14" s="1"/>
  <c r="G11" i="14"/>
  <c r="G20" i="14"/>
  <c r="H24" i="14"/>
  <c r="D4" i="14" l="1"/>
  <c r="H13" i="14" l="1"/>
  <c r="I11" i="14"/>
  <c r="G9" i="14"/>
  <c r="I9" i="14" s="1"/>
  <c r="I13" i="14" s="1"/>
  <c r="F32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" i="2"/>
  <c r="H18" i="4" l="1"/>
  <c r="H18" i="2"/>
  <c r="G32" i="2"/>
  <c r="I32" i="2" s="1"/>
  <c r="I34" i="2" s="1"/>
  <c r="G16" i="2"/>
  <c r="I16" i="2" s="1"/>
  <c r="G14" i="2"/>
  <c r="I14" i="2" s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" i="4"/>
  <c r="F32" i="4"/>
  <c r="G32" i="4" s="1"/>
  <c r="I32" i="4" s="1"/>
  <c r="I34" i="4" s="1"/>
  <c r="G14" i="4"/>
  <c r="I14" i="4" s="1"/>
  <c r="G16" i="4"/>
  <c r="I16" i="4" s="1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5" i="5"/>
  <c r="I32" i="5"/>
  <c r="J32" i="5" s="1"/>
  <c r="L32" i="5" s="1"/>
  <c r="L34" i="5" s="1"/>
  <c r="K18" i="5"/>
  <c r="J16" i="5"/>
  <c r="L16" i="5" s="1"/>
  <c r="J14" i="5"/>
  <c r="L14" i="5" s="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5" i="11"/>
  <c r="I32" i="11"/>
  <c r="J32" i="11" s="1"/>
  <c r="L32" i="11" s="1"/>
  <c r="L34" i="11" s="1"/>
  <c r="K18" i="11"/>
  <c r="J16" i="11"/>
  <c r="L16" i="11" s="1"/>
  <c r="J14" i="11"/>
  <c r="L14" i="11" s="1"/>
  <c r="I32" i="12"/>
  <c r="J32" i="12" s="1"/>
  <c r="L32" i="12" s="1"/>
  <c r="L34" i="12" s="1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5" i="12"/>
  <c r="K18" i="12"/>
  <c r="J16" i="12"/>
  <c r="L16" i="12" s="1"/>
  <c r="J14" i="12"/>
  <c r="L14" i="12" s="1"/>
  <c r="C4" i="14"/>
  <c r="L18" i="12" l="1"/>
  <c r="L18" i="11"/>
  <c r="I18" i="2"/>
  <c r="D3" i="2" s="1"/>
  <c r="I18" i="4"/>
  <c r="D3" i="4" s="1"/>
  <c r="L18" i="5"/>
  <c r="I32" i="13"/>
  <c r="J32" i="13" s="1"/>
  <c r="L32" i="13" s="1"/>
  <c r="L34" i="13" s="1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5" i="13"/>
  <c r="C5" i="7"/>
  <c r="K18" i="13"/>
  <c r="J16" i="13"/>
  <c r="L16" i="13" s="1"/>
  <c r="J14" i="13"/>
  <c r="L14" i="13" s="1"/>
  <c r="B8" i="14"/>
  <c r="B7" i="14"/>
  <c r="B6" i="14"/>
  <c r="D6" i="14" s="1"/>
  <c r="B5" i="14"/>
  <c r="D5" i="14" s="1"/>
  <c r="C7" i="14" l="1"/>
  <c r="D7" i="14"/>
  <c r="C8" i="14"/>
  <c r="D8" i="14"/>
  <c r="C5" i="14"/>
  <c r="C6" i="14"/>
  <c r="L18" i="13"/>
  <c r="B10" i="14"/>
  <c r="D10" i="14" s="1"/>
  <c r="C10" i="14" l="1"/>
  <c r="I32" i="7"/>
  <c r="J32" i="7" s="1"/>
  <c r="L32" i="7" s="1"/>
  <c r="L34" i="7" l="1"/>
  <c r="K18" i="7" l="1"/>
  <c r="C6" i="7" l="1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J16" i="7" l="1"/>
  <c r="L16" i="7" s="1"/>
  <c r="J14" i="7"/>
  <c r="L14" i="7" s="1"/>
  <c r="L18" i="7" l="1"/>
  <c r="C49" i="3" l="1"/>
  <c r="C50" i="3" s="1"/>
  <c r="B49" i="3"/>
  <c r="C42" i="3"/>
  <c r="B42" i="3"/>
  <c r="C35" i="3"/>
  <c r="C36" i="3" s="1"/>
  <c r="B35" i="3"/>
  <c r="C21" i="3"/>
  <c r="C22" i="3" s="1"/>
  <c r="B21" i="3"/>
  <c r="B22" i="3" s="1"/>
  <c r="C14" i="3"/>
  <c r="C15" i="3" s="1"/>
  <c r="B14" i="3"/>
  <c r="B15" i="3" s="1"/>
  <c r="C28" i="3"/>
  <c r="C30" i="3" s="1"/>
  <c r="C4" i="3" s="1"/>
  <c r="B28" i="3"/>
  <c r="B30" i="3" s="1"/>
  <c r="B4" i="3" s="1"/>
  <c r="C51" i="3" l="1"/>
  <c r="C7" i="3" s="1"/>
  <c r="F4" i="5" s="1"/>
  <c r="F26" i="5" s="1"/>
  <c r="G26" i="5" s="1"/>
  <c r="F33" i="3"/>
  <c r="B8" i="3" s="1"/>
  <c r="B35" i="4" s="1"/>
  <c r="D35" i="4" s="1"/>
  <c r="F21" i="3"/>
  <c r="B9" i="3" s="1"/>
  <c r="B3" i="2" s="1"/>
  <c r="B41" i="2" s="1"/>
  <c r="D41" i="2" s="1"/>
  <c r="C23" i="3"/>
  <c r="B43" i="3"/>
  <c r="B44" i="3" s="1"/>
  <c r="B6" i="3" s="1"/>
  <c r="B4" i="11" s="1"/>
  <c r="C37" i="3"/>
  <c r="C5" i="3" s="1"/>
  <c r="F4" i="12" s="1"/>
  <c r="C43" i="3"/>
  <c r="C44" i="3" s="1"/>
  <c r="C6" i="3" s="1"/>
  <c r="F4" i="11" s="1"/>
  <c r="G4" i="11" s="1"/>
  <c r="B36" i="3"/>
  <c r="B37" i="3" s="1"/>
  <c r="B5" i="3" s="1"/>
  <c r="B4" i="12" s="1"/>
  <c r="B50" i="3"/>
  <c r="B51" i="3" s="1"/>
  <c r="B7" i="3" s="1"/>
  <c r="B4" i="5" s="1"/>
  <c r="F11" i="5"/>
  <c r="G11" i="5" s="1"/>
  <c r="B16" i="3"/>
  <c r="B2" i="3" s="1"/>
  <c r="B4" i="7" s="1"/>
  <c r="B32" i="7" s="1"/>
  <c r="D32" i="7" s="1"/>
  <c r="C16" i="3"/>
  <c r="C2" i="3" s="1"/>
  <c r="B23" i="3"/>
  <c r="F28" i="5"/>
  <c r="G28" i="5" s="1"/>
  <c r="F32" i="5"/>
  <c r="G32" i="5" s="1"/>
  <c r="F17" i="5"/>
  <c r="G17" i="5" s="1"/>
  <c r="F21" i="5"/>
  <c r="G21" i="5" s="1"/>
  <c r="F25" i="5"/>
  <c r="G25" i="5" s="1"/>
  <c r="B12" i="4" l="1"/>
  <c r="D12" i="4" s="1"/>
  <c r="B24" i="4"/>
  <c r="D24" i="4" s="1"/>
  <c r="F37" i="5"/>
  <c r="G37" i="5" s="1"/>
  <c r="F5" i="5"/>
  <c r="G5" i="5" s="1"/>
  <c r="F7" i="5"/>
  <c r="G7" i="5" s="1"/>
  <c r="F30" i="5"/>
  <c r="G30" i="5" s="1"/>
  <c r="F33" i="5"/>
  <c r="G33" i="5" s="1"/>
  <c r="F9" i="5"/>
  <c r="G9" i="5" s="1"/>
  <c r="F12" i="5"/>
  <c r="G12" i="5" s="1"/>
  <c r="F43" i="5"/>
  <c r="G43" i="5" s="1"/>
  <c r="F42" i="5"/>
  <c r="G42" i="5" s="1"/>
  <c r="F20" i="5"/>
  <c r="G20" i="5" s="1"/>
  <c r="F36" i="5"/>
  <c r="G36" i="5" s="1"/>
  <c r="F16" i="5"/>
  <c r="G16" i="5" s="1"/>
  <c r="F23" i="5"/>
  <c r="G23" i="5" s="1"/>
  <c r="F10" i="5"/>
  <c r="G10" i="5" s="1"/>
  <c r="B13" i="4"/>
  <c r="D13" i="4" s="1"/>
  <c r="B39" i="4"/>
  <c r="D39" i="4" s="1"/>
  <c r="F20" i="12"/>
  <c r="G20" i="12" s="1"/>
  <c r="G4" i="12"/>
  <c r="F32" i="12"/>
  <c r="G32" i="12" s="1"/>
  <c r="F38" i="5"/>
  <c r="G38" i="5" s="1"/>
  <c r="G4" i="5"/>
  <c r="F16" i="12"/>
  <c r="G16" i="12" s="1"/>
  <c r="B16" i="7"/>
  <c r="D16" i="7" s="1"/>
  <c r="F29" i="5"/>
  <c r="G29" i="5" s="1"/>
  <c r="F13" i="5"/>
  <c r="G13" i="5" s="1"/>
  <c r="F40" i="5"/>
  <c r="G40" i="5" s="1"/>
  <c r="F24" i="5"/>
  <c r="G24" i="5" s="1"/>
  <c r="F8" i="5"/>
  <c r="G8" i="5" s="1"/>
  <c r="F27" i="5"/>
  <c r="G27" i="5" s="1"/>
  <c r="F19" i="5"/>
  <c r="G19" i="5" s="1"/>
  <c r="F14" i="5"/>
  <c r="G14" i="5" s="1"/>
  <c r="F41" i="5"/>
  <c r="G41" i="5" s="1"/>
  <c r="F18" i="5"/>
  <c r="G18" i="5" s="1"/>
  <c r="F34" i="5"/>
  <c r="G34" i="5" s="1"/>
  <c r="F39" i="5"/>
  <c r="G39" i="5" s="1"/>
  <c r="F35" i="5"/>
  <c r="G35" i="5" s="1"/>
  <c r="F6" i="5"/>
  <c r="G6" i="5" s="1"/>
  <c r="F22" i="5"/>
  <c r="G22" i="5" s="1"/>
  <c r="B39" i="11"/>
  <c r="D39" i="11" s="1"/>
  <c r="B38" i="11"/>
  <c r="D38" i="11" s="1"/>
  <c r="B36" i="11"/>
  <c r="D36" i="11" s="1"/>
  <c r="B37" i="11"/>
  <c r="D37" i="11" s="1"/>
  <c r="B24" i="11"/>
  <c r="D24" i="11" s="1"/>
  <c r="B8" i="11"/>
  <c r="D8" i="11" s="1"/>
  <c r="B32" i="11"/>
  <c r="D32" i="11" s="1"/>
  <c r="B33" i="11"/>
  <c r="D33" i="11" s="1"/>
  <c r="B20" i="11"/>
  <c r="D20" i="11" s="1"/>
  <c r="B42" i="11"/>
  <c r="D42" i="11" s="1"/>
  <c r="B40" i="11"/>
  <c r="D40" i="11" s="1"/>
  <c r="B28" i="11"/>
  <c r="D28" i="11" s="1"/>
  <c r="B35" i="11"/>
  <c r="D35" i="11" s="1"/>
  <c r="B34" i="11"/>
  <c r="D34" i="11" s="1"/>
  <c r="B31" i="11"/>
  <c r="D31" i="11" s="1"/>
  <c r="B30" i="11"/>
  <c r="D30" i="11" s="1"/>
  <c r="B25" i="11"/>
  <c r="D25" i="11" s="1"/>
  <c r="B29" i="11"/>
  <c r="D29" i="11" s="1"/>
  <c r="B16" i="11"/>
  <c r="D16" i="11" s="1"/>
  <c r="B43" i="11"/>
  <c r="D43" i="11" s="1"/>
  <c r="B41" i="11"/>
  <c r="D41" i="11" s="1"/>
  <c r="B12" i="11"/>
  <c r="D12" i="11" s="1"/>
  <c r="F28" i="12"/>
  <c r="G28" i="12" s="1"/>
  <c r="F12" i="12"/>
  <c r="G12" i="12" s="1"/>
  <c r="F4" i="7"/>
  <c r="F14" i="7" s="1"/>
  <c r="G14" i="7" s="1"/>
  <c r="F24" i="12"/>
  <c r="G24" i="12" s="1"/>
  <c r="F8" i="12"/>
  <c r="G8" i="12" s="1"/>
  <c r="F36" i="12"/>
  <c r="G36" i="12" s="1"/>
  <c r="F31" i="5"/>
  <c r="G31" i="5" s="1"/>
  <c r="F15" i="5"/>
  <c r="G15" i="5" s="1"/>
  <c r="B28" i="7"/>
  <c r="D28" i="7" s="1"/>
  <c r="B20" i="7"/>
  <c r="D20" i="7" s="1"/>
  <c r="B36" i="7"/>
  <c r="D36" i="7" s="1"/>
  <c r="F30" i="7"/>
  <c r="G30" i="7" s="1"/>
  <c r="B8" i="7"/>
  <c r="D8" i="7" s="1"/>
  <c r="B24" i="7"/>
  <c r="D24" i="7" s="1"/>
  <c r="B40" i="7"/>
  <c r="D40" i="7" s="1"/>
  <c r="B12" i="7"/>
  <c r="D12" i="7" s="1"/>
  <c r="B34" i="4"/>
  <c r="D34" i="4" s="1"/>
  <c r="B22" i="4"/>
  <c r="D22" i="4" s="1"/>
  <c r="B3" i="4"/>
  <c r="B7" i="4"/>
  <c r="D7" i="4" s="1"/>
  <c r="B33" i="4"/>
  <c r="D33" i="4" s="1"/>
  <c r="B5" i="4"/>
  <c r="D5" i="4" s="1"/>
  <c r="B16" i="4"/>
  <c r="D16" i="4" s="1"/>
  <c r="B26" i="4"/>
  <c r="D26" i="4" s="1"/>
  <c r="B37" i="4"/>
  <c r="D37" i="4" s="1"/>
  <c r="B15" i="4"/>
  <c r="D15" i="4" s="1"/>
  <c r="B4" i="4"/>
  <c r="D4" i="4" s="1"/>
  <c r="B14" i="4"/>
  <c r="D14" i="4" s="1"/>
  <c r="B25" i="4"/>
  <c r="D25" i="4" s="1"/>
  <c r="B36" i="4"/>
  <c r="D36" i="4" s="1"/>
  <c r="B11" i="4"/>
  <c r="D11" i="4" s="1"/>
  <c r="B8" i="4"/>
  <c r="D8" i="4" s="1"/>
  <c r="B18" i="4"/>
  <c r="D18" i="4" s="1"/>
  <c r="B29" i="4"/>
  <c r="D29" i="4" s="1"/>
  <c r="B40" i="4"/>
  <c r="D40" i="4" s="1"/>
  <c r="B23" i="4"/>
  <c r="D23" i="4" s="1"/>
  <c r="B6" i="4"/>
  <c r="D6" i="4" s="1"/>
  <c r="B17" i="4"/>
  <c r="D17" i="4" s="1"/>
  <c r="B28" i="4"/>
  <c r="D28" i="4" s="1"/>
  <c r="B38" i="4"/>
  <c r="D38" i="4" s="1"/>
  <c r="B27" i="4"/>
  <c r="D27" i="4" s="1"/>
  <c r="B10" i="4"/>
  <c r="D10" i="4" s="1"/>
  <c r="B21" i="4"/>
  <c r="D21" i="4" s="1"/>
  <c r="B32" i="4"/>
  <c r="D32" i="4" s="1"/>
  <c r="B42" i="4"/>
  <c r="D42" i="4" s="1"/>
  <c r="B31" i="4"/>
  <c r="D31" i="4" s="1"/>
  <c r="B9" i="4"/>
  <c r="D9" i="4" s="1"/>
  <c r="B20" i="4"/>
  <c r="D20" i="4" s="1"/>
  <c r="B30" i="4"/>
  <c r="D30" i="4" s="1"/>
  <c r="B41" i="4"/>
  <c r="D41" i="4" s="1"/>
  <c r="B19" i="4"/>
  <c r="D19" i="4" s="1"/>
  <c r="B30" i="2"/>
  <c r="D30" i="2" s="1"/>
  <c r="B25" i="2"/>
  <c r="D25" i="2" s="1"/>
  <c r="B12" i="2"/>
  <c r="D12" i="2" s="1"/>
  <c r="B9" i="2"/>
  <c r="D9" i="2" s="1"/>
  <c r="B14" i="2"/>
  <c r="D14" i="2" s="1"/>
  <c r="B28" i="2"/>
  <c r="D28" i="2" s="1"/>
  <c r="B8" i="2"/>
  <c r="D8" i="2" s="1"/>
  <c r="B24" i="2"/>
  <c r="D24" i="2" s="1"/>
  <c r="B37" i="2"/>
  <c r="D37" i="2" s="1"/>
  <c r="B21" i="2"/>
  <c r="D21" i="2" s="1"/>
  <c r="B5" i="2"/>
  <c r="D5" i="2" s="1"/>
  <c r="B42" i="2"/>
  <c r="D42" i="2" s="1"/>
  <c r="B26" i="2"/>
  <c r="D26" i="2" s="1"/>
  <c r="B10" i="2"/>
  <c r="D10" i="2" s="1"/>
  <c r="B15" i="2"/>
  <c r="D15" i="2" s="1"/>
  <c r="B31" i="2"/>
  <c r="D31" i="2" s="1"/>
  <c r="B11" i="2"/>
  <c r="D11" i="2" s="1"/>
  <c r="B32" i="2"/>
  <c r="D32" i="2" s="1"/>
  <c r="B33" i="2"/>
  <c r="D33" i="2" s="1"/>
  <c r="B17" i="2"/>
  <c r="D17" i="2" s="1"/>
  <c r="B38" i="2"/>
  <c r="D38" i="2" s="1"/>
  <c r="B22" i="2"/>
  <c r="D22" i="2" s="1"/>
  <c r="B6" i="2"/>
  <c r="D6" i="2" s="1"/>
  <c r="B4" i="2"/>
  <c r="D4" i="2" s="1"/>
  <c r="B20" i="2"/>
  <c r="D20" i="2" s="1"/>
  <c r="B36" i="2"/>
  <c r="D36" i="2" s="1"/>
  <c r="B16" i="2"/>
  <c r="D16" i="2" s="1"/>
  <c r="B35" i="2"/>
  <c r="D35" i="2" s="1"/>
  <c r="B29" i="2"/>
  <c r="D29" i="2" s="1"/>
  <c r="B13" i="2"/>
  <c r="D13" i="2" s="1"/>
  <c r="B34" i="2"/>
  <c r="D34" i="2" s="1"/>
  <c r="B18" i="2"/>
  <c r="D18" i="2" s="1"/>
  <c r="B7" i="2"/>
  <c r="D7" i="2" s="1"/>
  <c r="B23" i="2"/>
  <c r="D23" i="2" s="1"/>
  <c r="B39" i="2"/>
  <c r="D39" i="2" s="1"/>
  <c r="B19" i="2"/>
  <c r="D19" i="2" s="1"/>
  <c r="B40" i="2"/>
  <c r="D40" i="2" s="1"/>
  <c r="B27" i="2"/>
  <c r="D27" i="2" s="1"/>
  <c r="B41" i="5"/>
  <c r="D41" i="5" s="1"/>
  <c r="B42" i="5"/>
  <c r="D42" i="5" s="1"/>
  <c r="B38" i="5"/>
  <c r="D38" i="5" s="1"/>
  <c r="B34" i="5"/>
  <c r="D34" i="5" s="1"/>
  <c r="B30" i="5"/>
  <c r="D30" i="5" s="1"/>
  <c r="B26" i="5"/>
  <c r="D26" i="5" s="1"/>
  <c r="B22" i="5"/>
  <c r="D22" i="5" s="1"/>
  <c r="B18" i="5"/>
  <c r="D18" i="5" s="1"/>
  <c r="B14" i="5"/>
  <c r="D14" i="5" s="1"/>
  <c r="B10" i="5"/>
  <c r="D10" i="5" s="1"/>
  <c r="B6" i="5"/>
  <c r="D6" i="5" s="1"/>
  <c r="B9" i="5"/>
  <c r="D9" i="5" s="1"/>
  <c r="B25" i="5"/>
  <c r="D25" i="5" s="1"/>
  <c r="B40" i="5"/>
  <c r="D40" i="5" s="1"/>
  <c r="B24" i="5"/>
  <c r="D24" i="5" s="1"/>
  <c r="B8" i="5"/>
  <c r="D8" i="5" s="1"/>
  <c r="B31" i="5"/>
  <c r="D31" i="5" s="1"/>
  <c r="B15" i="5"/>
  <c r="D15" i="5" s="1"/>
  <c r="B28" i="5"/>
  <c r="D28" i="5" s="1"/>
  <c r="B19" i="5"/>
  <c r="D19" i="5" s="1"/>
  <c r="B13" i="5"/>
  <c r="D13" i="5" s="1"/>
  <c r="B29" i="5"/>
  <c r="D29" i="5" s="1"/>
  <c r="B36" i="5"/>
  <c r="D36" i="5" s="1"/>
  <c r="B20" i="5"/>
  <c r="D20" i="5" s="1"/>
  <c r="B43" i="5"/>
  <c r="D43" i="5" s="1"/>
  <c r="B27" i="5"/>
  <c r="D27" i="5" s="1"/>
  <c r="B11" i="5"/>
  <c r="D11" i="5" s="1"/>
  <c r="B5" i="5"/>
  <c r="D5" i="5" s="1"/>
  <c r="B21" i="5"/>
  <c r="D21" i="5" s="1"/>
  <c r="B37" i="5"/>
  <c r="D37" i="5" s="1"/>
  <c r="B35" i="5"/>
  <c r="D35" i="5" s="1"/>
  <c r="B17" i="5"/>
  <c r="D17" i="5" s="1"/>
  <c r="B33" i="5"/>
  <c r="D33" i="5" s="1"/>
  <c r="B32" i="5"/>
  <c r="D32" i="5" s="1"/>
  <c r="B16" i="5"/>
  <c r="D16" i="5" s="1"/>
  <c r="B39" i="5"/>
  <c r="D39" i="5" s="1"/>
  <c r="B23" i="5"/>
  <c r="D23" i="5" s="1"/>
  <c r="B7" i="5"/>
  <c r="D7" i="5" s="1"/>
  <c r="B12" i="5"/>
  <c r="D12" i="5" s="1"/>
  <c r="B39" i="12"/>
  <c r="D39" i="12" s="1"/>
  <c r="B23" i="12"/>
  <c r="D23" i="12" s="1"/>
  <c r="B7" i="12"/>
  <c r="D7" i="12" s="1"/>
  <c r="B9" i="12"/>
  <c r="D9" i="12" s="1"/>
  <c r="B14" i="12"/>
  <c r="D14" i="12" s="1"/>
  <c r="B20" i="12"/>
  <c r="D20" i="12" s="1"/>
  <c r="B25" i="12"/>
  <c r="D25" i="12" s="1"/>
  <c r="B30" i="12"/>
  <c r="D30" i="12" s="1"/>
  <c r="B36" i="12"/>
  <c r="D36" i="12" s="1"/>
  <c r="B41" i="12"/>
  <c r="D41" i="12" s="1"/>
  <c r="B27" i="12"/>
  <c r="D27" i="12" s="1"/>
  <c r="B13" i="12"/>
  <c r="D13" i="12" s="1"/>
  <c r="B29" i="12"/>
  <c r="D29" i="12" s="1"/>
  <c r="B40" i="12"/>
  <c r="D40" i="12" s="1"/>
  <c r="B35" i="12"/>
  <c r="D35" i="12" s="1"/>
  <c r="B19" i="12"/>
  <c r="D19" i="12" s="1"/>
  <c r="B5" i="12"/>
  <c r="D5" i="12" s="1"/>
  <c r="B10" i="12"/>
  <c r="D10" i="12" s="1"/>
  <c r="B16" i="12"/>
  <c r="D16" i="12" s="1"/>
  <c r="B21" i="12"/>
  <c r="D21" i="12" s="1"/>
  <c r="B26" i="12"/>
  <c r="D26" i="12" s="1"/>
  <c r="B32" i="12"/>
  <c r="D32" i="12" s="1"/>
  <c r="B37" i="12"/>
  <c r="D37" i="12" s="1"/>
  <c r="B42" i="12"/>
  <c r="D42" i="12" s="1"/>
  <c r="B11" i="12"/>
  <c r="D11" i="12" s="1"/>
  <c r="B18" i="12"/>
  <c r="D18" i="12" s="1"/>
  <c r="B34" i="12"/>
  <c r="D34" i="12" s="1"/>
  <c r="B31" i="12"/>
  <c r="D31" i="12" s="1"/>
  <c r="B15" i="12"/>
  <c r="D15" i="12" s="1"/>
  <c r="B6" i="12"/>
  <c r="D6" i="12" s="1"/>
  <c r="B12" i="12"/>
  <c r="D12" i="12" s="1"/>
  <c r="B17" i="12"/>
  <c r="D17" i="12" s="1"/>
  <c r="B22" i="12"/>
  <c r="D22" i="12" s="1"/>
  <c r="B28" i="12"/>
  <c r="D28" i="12" s="1"/>
  <c r="B33" i="12"/>
  <c r="D33" i="12" s="1"/>
  <c r="B38" i="12"/>
  <c r="D38" i="12" s="1"/>
  <c r="B43" i="12"/>
  <c r="D43" i="12" s="1"/>
  <c r="B8" i="12"/>
  <c r="D8" i="12" s="1"/>
  <c r="B24" i="12"/>
  <c r="D24" i="12" s="1"/>
  <c r="F27" i="11"/>
  <c r="G27" i="11" s="1"/>
  <c r="F34" i="11"/>
  <c r="G34" i="11" s="1"/>
  <c r="F14" i="11"/>
  <c r="G14" i="11" s="1"/>
  <c r="F6" i="11"/>
  <c r="G6" i="11" s="1"/>
  <c r="F30" i="11"/>
  <c r="G30" i="11" s="1"/>
  <c r="F42" i="11"/>
  <c r="G42" i="11" s="1"/>
  <c r="F18" i="11"/>
  <c r="G18" i="11" s="1"/>
  <c r="F10" i="11"/>
  <c r="G10" i="11" s="1"/>
  <c r="F38" i="11"/>
  <c r="G38" i="11" s="1"/>
  <c r="F23" i="11"/>
  <c r="G23" i="11" s="1"/>
  <c r="F32" i="11"/>
  <c r="G32" i="11" s="1"/>
  <c r="F35" i="11"/>
  <c r="G35" i="11" s="1"/>
  <c r="F25" i="11"/>
  <c r="G25" i="11" s="1"/>
  <c r="F9" i="11"/>
  <c r="G9" i="11" s="1"/>
  <c r="F8" i="11"/>
  <c r="G8" i="11" s="1"/>
  <c r="F16" i="11"/>
  <c r="G16" i="11" s="1"/>
  <c r="F33" i="11"/>
  <c r="G33" i="11" s="1"/>
  <c r="F22" i="11"/>
  <c r="G22" i="11" s="1"/>
  <c r="F15" i="11"/>
  <c r="G15" i="11" s="1"/>
  <c r="F24" i="11"/>
  <c r="G24" i="11" s="1"/>
  <c r="F28" i="11"/>
  <c r="G28" i="11" s="1"/>
  <c r="F31" i="11"/>
  <c r="G31" i="11" s="1"/>
  <c r="F21" i="11"/>
  <c r="G21" i="11" s="1"/>
  <c r="F5" i="11"/>
  <c r="G5" i="11" s="1"/>
  <c r="F11" i="11"/>
  <c r="G11" i="11" s="1"/>
  <c r="F19" i="11"/>
  <c r="G19" i="11" s="1"/>
  <c r="F37" i="11"/>
  <c r="G37" i="11" s="1"/>
  <c r="F36" i="11"/>
  <c r="G36" i="11" s="1"/>
  <c r="F13" i="11"/>
  <c r="G13" i="11" s="1"/>
  <c r="F29" i="11"/>
  <c r="G29" i="11" s="1"/>
  <c r="F40" i="11"/>
  <c r="G40" i="11" s="1"/>
  <c r="F43" i="11"/>
  <c r="G43" i="11" s="1"/>
  <c r="F26" i="11"/>
  <c r="G26" i="11" s="1"/>
  <c r="F17" i="11"/>
  <c r="G17" i="11" s="1"/>
  <c r="F12" i="11"/>
  <c r="G12" i="11" s="1"/>
  <c r="F20" i="11"/>
  <c r="G20" i="11" s="1"/>
  <c r="F41" i="11"/>
  <c r="G41" i="11" s="1"/>
  <c r="F39" i="11"/>
  <c r="G39" i="11" s="1"/>
  <c r="F7" i="11"/>
  <c r="G7" i="11" s="1"/>
  <c r="F4" i="13"/>
  <c r="G4" i="13" s="1"/>
  <c r="C3" i="3"/>
  <c r="F36" i="7"/>
  <c r="G36" i="7" s="1"/>
  <c r="F20" i="7"/>
  <c r="G20" i="7" s="1"/>
  <c r="F16" i="7"/>
  <c r="G16" i="7" s="1"/>
  <c r="F35" i="7"/>
  <c r="G35" i="7" s="1"/>
  <c r="F5" i="7"/>
  <c r="G5" i="7" s="1"/>
  <c r="B4" i="13"/>
  <c r="B3" i="3"/>
  <c r="B39" i="7"/>
  <c r="D39" i="7" s="1"/>
  <c r="B37" i="7"/>
  <c r="D37" i="7" s="1"/>
  <c r="B30" i="7"/>
  <c r="D30" i="7" s="1"/>
  <c r="B23" i="7"/>
  <c r="D23" i="7" s="1"/>
  <c r="B21" i="7"/>
  <c r="D21" i="7" s="1"/>
  <c r="B35" i="7"/>
  <c r="D35" i="7" s="1"/>
  <c r="B33" i="7"/>
  <c r="D33" i="7" s="1"/>
  <c r="B26" i="7"/>
  <c r="D26" i="7" s="1"/>
  <c r="B38" i="7"/>
  <c r="D38" i="7" s="1"/>
  <c r="B31" i="7"/>
  <c r="D31" i="7" s="1"/>
  <c r="B29" i="7"/>
  <c r="D29" i="7" s="1"/>
  <c r="B22" i="7"/>
  <c r="D22" i="7" s="1"/>
  <c r="B34" i="7"/>
  <c r="D34" i="7" s="1"/>
  <c r="B25" i="7"/>
  <c r="D25" i="7" s="1"/>
  <c r="B19" i="7"/>
  <c r="D19" i="7" s="1"/>
  <c r="B17" i="7"/>
  <c r="D17" i="7" s="1"/>
  <c r="B10" i="7"/>
  <c r="D10" i="7" s="1"/>
  <c r="B5" i="7"/>
  <c r="D5" i="7" s="1"/>
  <c r="B13" i="7"/>
  <c r="D13" i="7" s="1"/>
  <c r="B6" i="7"/>
  <c r="D6" i="7" s="1"/>
  <c r="B41" i="7"/>
  <c r="D41" i="7" s="1"/>
  <c r="B27" i="7"/>
  <c r="D27" i="7" s="1"/>
  <c r="B15" i="7"/>
  <c r="D15" i="7" s="1"/>
  <c r="B7" i="7"/>
  <c r="D7" i="7" s="1"/>
  <c r="B18" i="7"/>
  <c r="D18" i="7" s="1"/>
  <c r="B11" i="7"/>
  <c r="D11" i="7" s="1"/>
  <c r="B9" i="7"/>
  <c r="D9" i="7" s="1"/>
  <c r="B14" i="7"/>
  <c r="D14" i="7" s="1"/>
  <c r="B26" i="11"/>
  <c r="D26" i="11" s="1"/>
  <c r="B23" i="11"/>
  <c r="D23" i="11" s="1"/>
  <c r="B18" i="11"/>
  <c r="D18" i="11" s="1"/>
  <c r="B10" i="11"/>
  <c r="D10" i="11" s="1"/>
  <c r="B21" i="11"/>
  <c r="D21" i="11" s="1"/>
  <c r="B19" i="11"/>
  <c r="D19" i="11" s="1"/>
  <c r="B13" i="11"/>
  <c r="D13" i="11" s="1"/>
  <c r="B11" i="11"/>
  <c r="D11" i="11" s="1"/>
  <c r="B5" i="11"/>
  <c r="D5" i="11" s="1"/>
  <c r="B27" i="11"/>
  <c r="D27" i="11" s="1"/>
  <c r="B22" i="11"/>
  <c r="D22" i="11" s="1"/>
  <c r="B14" i="11"/>
  <c r="D14" i="11" s="1"/>
  <c r="B6" i="11"/>
  <c r="D6" i="11" s="1"/>
  <c r="B17" i="11"/>
  <c r="D17" i="11" s="1"/>
  <c r="B9" i="11"/>
  <c r="D9" i="11" s="1"/>
  <c r="B7" i="11"/>
  <c r="D7" i="11" s="1"/>
  <c r="B15" i="11"/>
  <c r="D15" i="11" s="1"/>
  <c r="F40" i="12"/>
  <c r="G40" i="12" s="1"/>
  <c r="F43" i="12"/>
  <c r="G43" i="12" s="1"/>
  <c r="F39" i="12"/>
  <c r="G39" i="12" s="1"/>
  <c r="F35" i="12"/>
  <c r="G35" i="12" s="1"/>
  <c r="F31" i="12"/>
  <c r="G31" i="12" s="1"/>
  <c r="F27" i="12"/>
  <c r="G27" i="12" s="1"/>
  <c r="F23" i="12"/>
  <c r="G23" i="12" s="1"/>
  <c r="F19" i="12"/>
  <c r="G19" i="12" s="1"/>
  <c r="F15" i="12"/>
  <c r="G15" i="12" s="1"/>
  <c r="F11" i="12"/>
  <c r="G11" i="12" s="1"/>
  <c r="F7" i="12"/>
  <c r="G7" i="12" s="1"/>
  <c r="F41" i="12"/>
  <c r="G41" i="12" s="1"/>
  <c r="F37" i="12"/>
  <c r="G37" i="12" s="1"/>
  <c r="F33" i="12"/>
  <c r="G33" i="12" s="1"/>
  <c r="F29" i="12"/>
  <c r="G29" i="12" s="1"/>
  <c r="F25" i="12"/>
  <c r="G25" i="12" s="1"/>
  <c r="F21" i="12"/>
  <c r="G21" i="12" s="1"/>
  <c r="F17" i="12"/>
  <c r="G17" i="12" s="1"/>
  <c r="F13" i="12"/>
  <c r="G13" i="12" s="1"/>
  <c r="F9" i="12"/>
  <c r="G9" i="12" s="1"/>
  <c r="F5" i="12"/>
  <c r="G5" i="12" s="1"/>
  <c r="F30" i="12"/>
  <c r="G30" i="12" s="1"/>
  <c r="F14" i="12"/>
  <c r="G14" i="12" s="1"/>
  <c r="F18" i="12"/>
  <c r="G18" i="12" s="1"/>
  <c r="F42" i="12"/>
  <c r="G42" i="12" s="1"/>
  <c r="F26" i="12"/>
  <c r="G26" i="12" s="1"/>
  <c r="F10" i="12"/>
  <c r="G10" i="12" s="1"/>
  <c r="F38" i="12"/>
  <c r="G38" i="12" s="1"/>
  <c r="F22" i="12"/>
  <c r="G22" i="12" s="1"/>
  <c r="F6" i="12"/>
  <c r="G6" i="12" s="1"/>
  <c r="F34" i="12"/>
  <c r="G34" i="12" s="1"/>
  <c r="F28" i="7" l="1"/>
  <c r="G28" i="7" s="1"/>
  <c r="F11" i="7"/>
  <c r="G11" i="7" s="1"/>
  <c r="F24" i="7"/>
  <c r="G24" i="7" s="1"/>
  <c r="F7" i="7"/>
  <c r="G7" i="7" s="1"/>
  <c r="F32" i="7"/>
  <c r="G32" i="7" s="1"/>
  <c r="F25" i="7"/>
  <c r="G25" i="7" s="1"/>
  <c r="F12" i="7"/>
  <c r="G12" i="7" s="1"/>
  <c r="F15" i="7"/>
  <c r="G15" i="7" s="1"/>
  <c r="F39" i="7"/>
  <c r="G39" i="7" s="1"/>
  <c r="F31" i="7"/>
  <c r="G31" i="7" s="1"/>
  <c r="F19" i="7"/>
  <c r="G19" i="7" s="1"/>
  <c r="F8" i="7"/>
  <c r="G8" i="7" s="1"/>
  <c r="F23" i="7"/>
  <c r="G23" i="7" s="1"/>
  <c r="F27" i="7"/>
  <c r="G27" i="7" s="1"/>
  <c r="F40" i="7"/>
  <c r="G40" i="7" s="1"/>
  <c r="G4" i="7"/>
  <c r="F29" i="7"/>
  <c r="G29" i="7" s="1"/>
  <c r="F6" i="7"/>
  <c r="G6" i="7" s="1"/>
  <c r="F26" i="7"/>
  <c r="G26" i="7" s="1"/>
  <c r="F33" i="7"/>
  <c r="G33" i="7" s="1"/>
  <c r="F22" i="7"/>
  <c r="G22" i="7" s="1"/>
  <c r="F21" i="7"/>
  <c r="G21" i="7" s="1"/>
  <c r="F10" i="7"/>
  <c r="G10" i="7" s="1"/>
  <c r="F34" i="7"/>
  <c r="G34" i="7" s="1"/>
  <c r="F37" i="7"/>
  <c r="G37" i="7" s="1"/>
  <c r="F17" i="7"/>
  <c r="G17" i="7" s="1"/>
  <c r="F18" i="7"/>
  <c r="G18" i="7" s="1"/>
  <c r="F38" i="7"/>
  <c r="G38" i="7" s="1"/>
  <c r="F13" i="7"/>
  <c r="G13" i="7" s="1"/>
  <c r="F9" i="7"/>
  <c r="G9" i="7" s="1"/>
  <c r="F41" i="7"/>
  <c r="G41" i="7" s="1"/>
  <c r="B41" i="13"/>
  <c r="D41" i="13" s="1"/>
  <c r="B25" i="13"/>
  <c r="D25" i="13" s="1"/>
  <c r="B9" i="13"/>
  <c r="D9" i="13" s="1"/>
  <c r="B8" i="13"/>
  <c r="D8" i="13" s="1"/>
  <c r="B24" i="13"/>
  <c r="D24" i="13" s="1"/>
  <c r="B40" i="13"/>
  <c r="D40" i="13" s="1"/>
  <c r="B23" i="13"/>
  <c r="D23" i="13" s="1"/>
  <c r="B39" i="13"/>
  <c r="D39" i="13" s="1"/>
  <c r="B18" i="13"/>
  <c r="D18" i="13" s="1"/>
  <c r="B34" i="13"/>
  <c r="D34" i="13" s="1"/>
  <c r="B29" i="13"/>
  <c r="D29" i="13" s="1"/>
  <c r="B6" i="13"/>
  <c r="D6" i="13" s="1"/>
  <c r="B36" i="13"/>
  <c r="D36" i="13" s="1"/>
  <c r="B14" i="13"/>
  <c r="D14" i="13" s="1"/>
  <c r="B37" i="13"/>
  <c r="D37" i="13" s="1"/>
  <c r="B21" i="13"/>
  <c r="D21" i="13" s="1"/>
  <c r="B7" i="13"/>
  <c r="D7" i="13" s="1"/>
  <c r="B12" i="13"/>
  <c r="D12" i="13" s="1"/>
  <c r="B28" i="13"/>
  <c r="D28" i="13" s="1"/>
  <c r="B11" i="13"/>
  <c r="D11" i="13" s="1"/>
  <c r="B27" i="13"/>
  <c r="D27" i="13" s="1"/>
  <c r="B43" i="13"/>
  <c r="D43" i="13" s="1"/>
  <c r="B22" i="13"/>
  <c r="D22" i="13" s="1"/>
  <c r="B38" i="13"/>
  <c r="D38" i="13" s="1"/>
  <c r="B13" i="13"/>
  <c r="D13" i="13" s="1"/>
  <c r="B20" i="13"/>
  <c r="D20" i="13" s="1"/>
  <c r="B19" i="13"/>
  <c r="D19" i="13" s="1"/>
  <c r="B30" i="13"/>
  <c r="D30" i="13" s="1"/>
  <c r="B33" i="13"/>
  <c r="D33" i="13" s="1"/>
  <c r="B17" i="13"/>
  <c r="D17" i="13" s="1"/>
  <c r="B5" i="13"/>
  <c r="D5" i="13" s="1"/>
  <c r="B16" i="13"/>
  <c r="D16" i="13" s="1"/>
  <c r="B32" i="13"/>
  <c r="D32" i="13" s="1"/>
  <c r="B15" i="13"/>
  <c r="D15" i="13" s="1"/>
  <c r="B31" i="13"/>
  <c r="D31" i="13" s="1"/>
  <c r="B10" i="13"/>
  <c r="D10" i="13" s="1"/>
  <c r="B26" i="13"/>
  <c r="D26" i="13" s="1"/>
  <c r="B42" i="13"/>
  <c r="D42" i="13" s="1"/>
  <c r="B35" i="13"/>
  <c r="D35" i="13" s="1"/>
  <c r="F39" i="13"/>
  <c r="G39" i="13" s="1"/>
  <c r="F23" i="13"/>
  <c r="G23" i="13" s="1"/>
  <c r="F7" i="13"/>
  <c r="G7" i="13" s="1"/>
  <c r="F35" i="13"/>
  <c r="G35" i="13" s="1"/>
  <c r="F19" i="13"/>
  <c r="G19" i="13" s="1"/>
  <c r="F5" i="13"/>
  <c r="G5" i="13" s="1"/>
  <c r="F31" i="13"/>
  <c r="G31" i="13" s="1"/>
  <c r="F15" i="13"/>
  <c r="G15" i="13" s="1"/>
  <c r="F6" i="13"/>
  <c r="G6" i="13" s="1"/>
  <c r="F27" i="13"/>
  <c r="G27" i="13" s="1"/>
  <c r="F43" i="13"/>
  <c r="G43" i="13" s="1"/>
  <c r="F11" i="13"/>
  <c r="G11" i="13" s="1"/>
  <c r="F42" i="13"/>
  <c r="G42" i="13" s="1"/>
  <c r="F26" i="13"/>
  <c r="G26" i="13" s="1"/>
  <c r="F10" i="13"/>
  <c r="G10" i="13" s="1"/>
  <c r="F13" i="13"/>
  <c r="G13" i="13" s="1"/>
  <c r="F21" i="13"/>
  <c r="G21" i="13" s="1"/>
  <c r="F29" i="13"/>
  <c r="G29" i="13" s="1"/>
  <c r="F37" i="13"/>
  <c r="G37" i="13" s="1"/>
  <c r="F20" i="13"/>
  <c r="G20" i="13" s="1"/>
  <c r="F38" i="13"/>
  <c r="G38" i="13" s="1"/>
  <c r="F22" i="13"/>
  <c r="G22" i="13" s="1"/>
  <c r="F8" i="13"/>
  <c r="G8" i="13" s="1"/>
  <c r="F16" i="13"/>
  <c r="G16" i="13" s="1"/>
  <c r="F24" i="13"/>
  <c r="G24" i="13" s="1"/>
  <c r="F32" i="13"/>
  <c r="G32" i="13" s="1"/>
  <c r="F40" i="13"/>
  <c r="G40" i="13" s="1"/>
  <c r="F12" i="13"/>
  <c r="G12" i="13" s="1"/>
  <c r="F36" i="13"/>
  <c r="G36" i="13" s="1"/>
  <c r="F34" i="13"/>
  <c r="G34" i="13" s="1"/>
  <c r="F18" i="13"/>
  <c r="G18" i="13" s="1"/>
  <c r="F9" i="13"/>
  <c r="G9" i="13" s="1"/>
  <c r="F17" i="13"/>
  <c r="G17" i="13" s="1"/>
  <c r="F25" i="13"/>
  <c r="G25" i="13" s="1"/>
  <c r="F33" i="13"/>
  <c r="G33" i="13" s="1"/>
  <c r="F41" i="13"/>
  <c r="G41" i="13" s="1"/>
  <c r="F30" i="13"/>
  <c r="G30" i="13" s="1"/>
  <c r="F28" i="13"/>
  <c r="G28" i="13" s="1"/>
  <c r="F14" i="13"/>
  <c r="G14" i="13" s="1"/>
  <c r="I20" i="14"/>
  <c r="I24" i="14" s="1"/>
</calcChain>
</file>

<file path=xl/sharedStrings.xml><?xml version="1.0" encoding="utf-8"?>
<sst xmlns="http://schemas.openxmlformats.org/spreadsheetml/2006/main" count="389" uniqueCount="108">
  <si>
    <t>SALARIOS BRUTOS</t>
  </si>
  <si>
    <t>SUELDO</t>
  </si>
  <si>
    <t>P.P. EXTRAS</t>
  </si>
  <si>
    <t>INDEMNIZACION</t>
  </si>
  <si>
    <t>C. DESTINO (18)</t>
  </si>
  <si>
    <t>C. ESPECIFICO (28)</t>
  </si>
  <si>
    <t>C. DESTINO (14)</t>
  </si>
  <si>
    <t>C. ESPECIFICO (24)</t>
  </si>
  <si>
    <t>INDENIZACION</t>
  </si>
  <si>
    <t>€/MES (MÍNIMOS)</t>
  </si>
  <si>
    <t>€/MES (MAXIMOS)</t>
  </si>
  <si>
    <t>€/MES (MÁXIMOS)</t>
  </si>
  <si>
    <t>€/MES (MINIMOS)</t>
  </si>
  <si>
    <t>SUELDO (B)</t>
  </si>
  <si>
    <t>BASE MINIMA/HORA Tº PARCIAL GRUPO 1</t>
  </si>
  <si>
    <t>BASE MINIMA G1</t>
  </si>
  <si>
    <t>BASE MINIMA/HORA Tº PARCIAL GRUPO 2</t>
  </si>
  <si>
    <t>BASE MINIMA/HORA Tº PARCIAL GRUPO 4-11</t>
  </si>
  <si>
    <t>12 DIAS</t>
  </si>
  <si>
    <t>Retribución/año (*1)</t>
  </si>
  <si>
    <t>mínimas</t>
  </si>
  <si>
    <t>máximas</t>
  </si>
  <si>
    <t>PERSONAL INVESTIGADOR</t>
  </si>
  <si>
    <t>Investigador en Formación</t>
  </si>
  <si>
    <t>PERSONAL COLABORADOR EN TAREAS DE INVESTIGACIÓN</t>
  </si>
  <si>
    <t>Titulados superiores I</t>
  </si>
  <si>
    <t>Titulados superiores II</t>
  </si>
  <si>
    <t>Titulados de grado medio</t>
  </si>
  <si>
    <t>Especialistas Técnicos (*2)</t>
  </si>
  <si>
    <t>Auxiliares (*2)</t>
  </si>
  <si>
    <t>TOTAL</t>
  </si>
  <si>
    <t>INVESTIGADOR EN FORMACIÓN</t>
  </si>
  <si>
    <t>INVESTIGADOR JUNIOR</t>
  </si>
  <si>
    <t>INVESTIGADOR SENIOR</t>
  </si>
  <si>
    <t>BASE MINIMA/HORA Tº PARCIAL GRUPO 5</t>
  </si>
  <si>
    <t>AUXILIAR</t>
  </si>
  <si>
    <t>TOTAL…………………</t>
  </si>
  <si>
    <t>TOTAL…………….</t>
  </si>
  <si>
    <t>ESPECIALISTA TECNICO</t>
  </si>
  <si>
    <t>TITULADO SUPERIOR I</t>
  </si>
  <si>
    <t>TITULADO SUPERIOR II</t>
  </si>
  <si>
    <t>TITULADO DE GRADO MEDIO</t>
  </si>
  <si>
    <t>Complemento Compensatorio CD</t>
  </si>
  <si>
    <t>Investigador Senior</t>
  </si>
  <si>
    <t>Investigador Junior</t>
  </si>
  <si>
    <t>DEDICACION HORAS  SEMANALES</t>
  </si>
  <si>
    <t xml:space="preserve">RETRIBUCION MENSUAL BRUTA </t>
  </si>
  <si>
    <t>RETRIBUCIONES MINIMAS</t>
  </si>
  <si>
    <t>RETRIBUCIONES MAXIMAS</t>
  </si>
  <si>
    <t>CUOTA  SEG.SOCIAL 32,60%</t>
  </si>
  <si>
    <t>CUOTA SEG.SOCIAL 32,60%</t>
  </si>
  <si>
    <t>Grupo de Cotización</t>
  </si>
  <si>
    <t>CONTINGENCIAS COMUNES</t>
  </si>
  <si>
    <t>BASE MINIMA HORA</t>
  </si>
  <si>
    <t>TOPE MÍNIMO</t>
  </si>
  <si>
    <t>TOPE MÁXIMO</t>
  </si>
  <si>
    <t>CONTINGENCIAS PROFESIONALES</t>
  </si>
  <si>
    <t>Base Cotización</t>
  </si>
  <si>
    <t>Tipos cotización %</t>
  </si>
  <si>
    <t>Cuota Patronal</t>
  </si>
  <si>
    <t>Contingencias Comunes</t>
  </si>
  <si>
    <t>Contingencias Profesionales</t>
  </si>
  <si>
    <t>Bases mínimas euros/mes</t>
  </si>
  <si>
    <t>Bases máximas euros/mes</t>
  </si>
  <si>
    <t>CALCULADORA COSTE SEG.SOCIAL TIEMPO COMPLETO</t>
  </si>
  <si>
    <t>TOTAL COSTE SEGURIDAD SOCIAL</t>
  </si>
  <si>
    <r>
      <rPr>
        <sz val="9"/>
        <color rgb="FF0033CC"/>
        <rFont val="Verdana"/>
        <family val="2"/>
      </rPr>
      <t>Por favor, introduzca la</t>
    </r>
    <r>
      <rPr>
        <b/>
        <sz val="9"/>
        <color rgb="FF0033CC"/>
        <rFont val="Verdana"/>
        <family val="2"/>
      </rPr>
      <t xml:space="preserve"> RETRIBUCION MENSUAL BRUTA PROPUESTA </t>
    </r>
    <r>
      <rPr>
        <sz val="9"/>
        <color rgb="FF0033CC"/>
        <rFont val="Verdana"/>
        <family val="2"/>
      </rPr>
      <t xml:space="preserve">para </t>
    </r>
    <r>
      <rPr>
        <b/>
        <sz val="9"/>
        <color rgb="FF0033CC"/>
        <rFont val="Verdana"/>
        <family val="2"/>
      </rPr>
      <t>40h/semana ………………………………</t>
    </r>
  </si>
  <si>
    <r>
      <rPr>
        <sz val="9"/>
        <color rgb="FF0033CC"/>
        <rFont val="Verdana"/>
        <family val="2"/>
      </rPr>
      <t>Por favor, introduzca la</t>
    </r>
    <r>
      <rPr>
        <b/>
        <sz val="9"/>
        <color rgb="FF0033CC"/>
        <rFont val="Verdana"/>
        <family val="2"/>
      </rPr>
      <t xml:space="preserve"> DEDICACION de HORAS semanales…………………………….……………………………….</t>
    </r>
  </si>
  <si>
    <t>CALCULADORA COSTE SEG.SOCIAL TIEMPO PARCIAL</t>
  </si>
  <si>
    <t>TOTAL COSTE SEGURIDAD SOCIAL……..</t>
  </si>
  <si>
    <t>CALCULO RC</t>
  </si>
  <si>
    <r>
      <rPr>
        <b/>
        <sz val="10"/>
        <rFont val="Verdana"/>
        <family val="2"/>
      </rPr>
      <t>(*) NOTA:</t>
    </r>
    <r>
      <rPr>
        <sz val="10"/>
        <rFont val="Verdana"/>
        <family val="2"/>
      </rPr>
      <t xml:space="preserve"> Para calcular el coste total del contrato/renovación para el periodo, utilice la siguiente plantilla………………………………………………………</t>
    </r>
  </si>
  <si>
    <r>
      <rPr>
        <sz val="9"/>
        <color rgb="FF0033CC"/>
        <rFont val="Verdana"/>
        <family val="2"/>
      </rPr>
      <t>Por favor, introduzca la</t>
    </r>
    <r>
      <rPr>
        <b/>
        <sz val="9"/>
        <color rgb="FF0033CC"/>
        <rFont val="Verdana"/>
        <family val="2"/>
      </rPr>
      <t xml:space="preserve"> RETRIBUCION MENSUAL PROPUESTA ……….……………….……………………………….</t>
    </r>
  </si>
  <si>
    <t>Base mín.Cotiz.</t>
  </si>
  <si>
    <t>Tipo cotización %</t>
  </si>
  <si>
    <t>1º año, no inferior a</t>
  </si>
  <si>
    <t>2º año, no inferior a</t>
  </si>
  <si>
    <t>3º año, no inferior a</t>
  </si>
  <si>
    <t>4º año, no inferior a</t>
  </si>
  <si>
    <t xml:space="preserve">RETRIBUCION BRUTA ANUAL  </t>
  </si>
  <si>
    <t>Prorrateo de la cuantía, para percibir identica cuantia anual</t>
  </si>
  <si>
    <r>
      <t>(</t>
    </r>
    <r>
      <rPr>
        <b/>
        <sz val="9"/>
        <rFont val="Verdana"/>
        <family val="2"/>
      </rPr>
      <t xml:space="preserve">*) NOTA: </t>
    </r>
    <r>
      <rPr>
        <sz val="9"/>
        <rFont val="Verdana"/>
        <family val="2"/>
      </rPr>
      <t xml:space="preserve">Cuando la dedicación es a </t>
    </r>
    <r>
      <rPr>
        <b/>
        <sz val="9"/>
        <rFont val="Verdana"/>
        <family val="2"/>
      </rPr>
      <t>TIEMPO PARCIAL</t>
    </r>
    <r>
      <rPr>
        <sz val="9"/>
        <rFont val="Verdana"/>
        <family val="2"/>
      </rPr>
      <t xml:space="preserve">, para retribuciones distintas a las establecidas en tablas, según bases de la convocatoria, usar la siguiente calculadora para determinar el coste de Seguridad Social </t>
    </r>
  </si>
  <si>
    <r>
      <t>(</t>
    </r>
    <r>
      <rPr>
        <b/>
        <sz val="9"/>
        <rFont val="Verdana"/>
        <family val="2"/>
      </rPr>
      <t xml:space="preserve">*) NOTA: </t>
    </r>
    <r>
      <rPr>
        <sz val="9"/>
        <rFont val="Verdana"/>
        <family val="2"/>
      </rPr>
      <t xml:space="preserve">Cuando la dedicación es a </t>
    </r>
    <r>
      <rPr>
        <b/>
        <sz val="9"/>
        <rFont val="Verdana"/>
        <family val="2"/>
      </rPr>
      <t>TIEMPO PARCIAL</t>
    </r>
    <r>
      <rPr>
        <sz val="9"/>
        <rFont val="Verdana"/>
        <family val="2"/>
      </rPr>
      <t xml:space="preserve">, para retribuciones comprendidas </t>
    </r>
    <r>
      <rPr>
        <b/>
        <sz val="9"/>
        <rFont val="Verdana"/>
        <family val="2"/>
      </rPr>
      <t>en el rango del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intervalo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establecido</t>
    </r>
    <r>
      <rPr>
        <sz val="9"/>
        <rFont val="Verdana"/>
        <family val="2"/>
      </rPr>
      <t xml:space="preserve">, usar la siguiente calculadora para determinar el coste de Seguridad Social </t>
    </r>
  </si>
  <si>
    <r>
      <t>(</t>
    </r>
    <r>
      <rPr>
        <b/>
        <sz val="9"/>
        <rFont val="Verdana"/>
        <family val="2"/>
      </rPr>
      <t xml:space="preserve">*) NOTA: </t>
    </r>
    <r>
      <rPr>
        <sz val="9"/>
        <rFont val="Verdana"/>
        <family val="2"/>
      </rPr>
      <t xml:space="preserve">Cuando la dedicación es a </t>
    </r>
    <r>
      <rPr>
        <b/>
        <sz val="9"/>
        <rFont val="Verdana"/>
        <family val="2"/>
      </rPr>
      <t>TIEMPO PARCIAL</t>
    </r>
    <r>
      <rPr>
        <sz val="9"/>
        <rFont val="Verdana"/>
        <family val="2"/>
      </rPr>
      <t>, para retribuciones comprendidas en el</t>
    </r>
    <r>
      <rPr>
        <b/>
        <sz val="9"/>
        <rFont val="Verdana"/>
        <family val="2"/>
      </rPr>
      <t xml:space="preserve"> rango del intervalo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establecido</t>
    </r>
    <r>
      <rPr>
        <sz val="9"/>
        <rFont val="Verdana"/>
        <family val="2"/>
      </rPr>
      <t xml:space="preserve">, usar la siguiente calculadora para determinar el coste de Seguridad Social </t>
    </r>
  </si>
  <si>
    <t>RETRIBUCION BRUTA MENSUAL (12 pagas)</t>
  </si>
  <si>
    <t>RETRIBUCION MÍNIMA A PERCIBIR (TIEMPO COMPLETO)</t>
  </si>
  <si>
    <t>CONTRATO PREDOCTORAL</t>
  </si>
  <si>
    <t>Grupo de Cotización 1</t>
  </si>
  <si>
    <t>Base mínima/hora</t>
  </si>
  <si>
    <t>TOTAL COSTE SEGURIDAD SOCIAL……………..</t>
  </si>
  <si>
    <t>RETRIBUCION BRUTA MENSUAL (14 pagas)</t>
  </si>
  <si>
    <t>TOTAL COSTE SEGURIDAD SOCIAL……………………</t>
  </si>
  <si>
    <r>
      <t xml:space="preserve">CALCULADORA COSTE SEG.SOCIAL CONTRATO </t>
    </r>
    <r>
      <rPr>
        <b/>
        <sz val="11"/>
        <color rgb="FFFF0000"/>
        <rFont val="Verdana"/>
        <family val="2"/>
      </rPr>
      <t>PREDOCTORAL</t>
    </r>
  </si>
  <si>
    <r>
      <t xml:space="preserve">CALCULADORA COSTE SEG.SOCIAL CONTRATO                                                               </t>
    </r>
    <r>
      <rPr>
        <b/>
        <sz val="11"/>
        <color rgb="FFFF0000"/>
        <rFont val="Verdana"/>
        <family val="2"/>
      </rPr>
      <t xml:space="preserve"> EN PRÁCTICAS/ACCESO CIENCIA</t>
    </r>
  </si>
  <si>
    <r>
      <rPr>
        <sz val="9"/>
        <color rgb="FF0033CC"/>
        <rFont val="Verdana"/>
        <family val="2"/>
      </rPr>
      <t>Por favor, introduzca la</t>
    </r>
    <r>
      <rPr>
        <b/>
        <sz val="9"/>
        <color rgb="FF0033CC"/>
        <rFont val="Verdana"/>
        <family val="2"/>
      </rPr>
      <t xml:space="preserve"> RETRIBUCION MENSUAL BRUTA PROPUESTA 40 h:</t>
    </r>
  </si>
  <si>
    <t>TABLAS 2021 CON INCREMENTO 2,09%</t>
  </si>
  <si>
    <t>BASE MINIMA G2</t>
  </si>
  <si>
    <t>BASE MINIMA G5</t>
  </si>
  <si>
    <t>BASE MINIMA G7</t>
  </si>
  <si>
    <t>OCULTAR ESTA FILA PARA PUBLICAR</t>
  </si>
  <si>
    <t xml:space="preserve">TABLAS RETRIBUTIVAS DEL PERSONAL INVESTIGADOR AÑO 2022                                                                                                            </t>
  </si>
  <si>
    <t>TABLAS 2022 CON INCREMENTO 2%</t>
  </si>
  <si>
    <t xml:space="preserve">TABLAS RETRIBUTIVAS DEL PERSONAL INVESTIGADOR AÑO 2022                                                                                                         </t>
  </si>
  <si>
    <t xml:space="preserve">TABLAS RETRIBUTIVAS DEL PERSONAL INVESTIGADOR AÑO 2022                                                                                                           </t>
  </si>
  <si>
    <t xml:space="preserve">TABLAS RETRIBUTIVAS DEL PERSONAL INVESTIGADOR AÑO 2022                                                                                                      </t>
  </si>
  <si>
    <t xml:space="preserve">TABLAS RETRIBUTIVAS DEL PERSONAL INVESTIGADOR AÑO 2022                                                                                                          </t>
  </si>
  <si>
    <t>TABLAS RETRIBUTIVAS DEL PERSONAL INVESTIGADOR AÑO 2022</t>
  </si>
  <si>
    <t xml:space="preserve">TABLAS RETRIBUTIVAS DEL PERSONAL INVESTIGADOR EN FORMACIÓN            AÑO  2021(HASTA ABRIL 2021)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</si>
</sst>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u/>
      <sz val="10"/>
      <name val="Verdana"/>
      <family val="2"/>
    </font>
    <font>
      <sz val="10"/>
      <name val="Verdana"/>
      <family val="2"/>
    </font>
    <font>
      <b/>
      <sz val="11"/>
      <color rgb="FF00000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b/>
      <u/>
      <sz val="10"/>
      <name val="Verdana"/>
      <family val="2"/>
    </font>
    <font>
      <sz val="11"/>
      <color rgb="FF000000"/>
      <name val="Verdana"/>
      <family val="2"/>
    </font>
    <font>
      <sz val="1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8"/>
      <color rgb="FF000000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9"/>
      <color rgb="FF0000CC"/>
      <name val="Verdana"/>
      <family val="2"/>
    </font>
    <font>
      <b/>
      <sz val="9"/>
      <color rgb="FF0033CC"/>
      <name val="Verdana"/>
      <family val="2"/>
    </font>
    <font>
      <sz val="9"/>
      <color rgb="FF0033CC"/>
      <name val="Verdana"/>
      <family val="2"/>
    </font>
    <font>
      <sz val="10"/>
      <color rgb="FF0033CC"/>
      <name val="Verdana"/>
      <family val="2"/>
    </font>
    <font>
      <i/>
      <sz val="10"/>
      <name val="Verdana"/>
      <family val="2"/>
    </font>
    <font>
      <b/>
      <sz val="10"/>
      <color rgb="FF0033CC"/>
      <name val="Verdana"/>
      <family val="2"/>
    </font>
    <font>
      <u/>
      <sz val="10"/>
      <color theme="10"/>
      <name val="Arial"/>
      <family val="2"/>
    </font>
    <font>
      <b/>
      <i/>
      <sz val="9"/>
      <color theme="0" tint="-0.34998626667073579"/>
      <name val="Verdana"/>
      <family val="2"/>
    </font>
    <font>
      <i/>
      <sz val="10"/>
      <color theme="0" tint="-0.34998626667073579"/>
      <name val="Verdana"/>
      <family val="2"/>
    </font>
    <font>
      <b/>
      <sz val="11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ash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ashed">
        <color theme="0" tint="-0.2499465926084170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ashed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 style="medium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dash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dash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2" fontId="4" fillId="0" borderId="0" xfId="0" applyNumberFormat="1" applyFont="1"/>
    <xf numFmtId="0" fontId="7" fillId="0" borderId="0" xfId="0" applyFont="1"/>
    <xf numFmtId="0" fontId="6" fillId="0" borderId="0" xfId="0" applyFont="1"/>
    <xf numFmtId="0" fontId="8" fillId="0" borderId="0" xfId="0" applyFont="1" applyBorder="1" applyAlignment="1">
      <alignment vertical="center"/>
    </xf>
    <xf numFmtId="0" fontId="7" fillId="0" borderId="13" xfId="0" applyFont="1" applyFill="1" applyBorder="1"/>
    <xf numFmtId="0" fontId="11" fillId="0" borderId="0" xfId="0" applyFont="1"/>
    <xf numFmtId="0" fontId="11" fillId="0" borderId="0" xfId="0" applyFont="1" applyAlignment="1">
      <alignment horizontal="right"/>
    </xf>
    <xf numFmtId="4" fontId="7" fillId="0" borderId="0" xfId="0" applyNumberFormat="1" applyFont="1"/>
    <xf numFmtId="0" fontId="9" fillId="0" borderId="18" xfId="0" applyFont="1" applyFill="1" applyBorder="1"/>
    <xf numFmtId="0" fontId="9" fillId="0" borderId="0" xfId="0" applyFont="1" applyFill="1" applyBorder="1"/>
    <xf numFmtId="0" fontId="7" fillId="0" borderId="0" xfId="0" applyFont="1" applyBorder="1"/>
    <xf numFmtId="2" fontId="9" fillId="0" borderId="0" xfId="0" applyNumberFormat="1" applyFont="1"/>
    <xf numFmtId="2" fontId="7" fillId="0" borderId="0" xfId="0" applyNumberFormat="1" applyFont="1"/>
    <xf numFmtId="2" fontId="7" fillId="0" borderId="0" xfId="0" applyNumberFormat="1" applyFont="1" applyBorder="1"/>
    <xf numFmtId="0" fontId="7" fillId="0" borderId="0" xfId="0" applyFont="1" applyAlignment="1">
      <alignment vertical="center"/>
    </xf>
    <xf numFmtId="0" fontId="7" fillId="0" borderId="18" xfId="0" applyFont="1" applyFill="1" applyBorder="1"/>
    <xf numFmtId="0" fontId="7" fillId="0" borderId="21" xfId="0" applyFont="1" applyFill="1" applyBorder="1"/>
    <xf numFmtId="0" fontId="7" fillId="0" borderId="19" xfId="0" applyFont="1" applyBorder="1"/>
    <xf numFmtId="0" fontId="7" fillId="0" borderId="20" xfId="0" applyFont="1" applyBorder="1"/>
    <xf numFmtId="0" fontId="16" fillId="2" borderId="4" xfId="0" applyFont="1" applyFill="1" applyBorder="1" applyAlignment="1">
      <alignment vertical="center"/>
    </xf>
    <xf numFmtId="0" fontId="9" fillId="0" borderId="0" xfId="0" applyFont="1"/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vertic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shrinkToFit="1"/>
    </xf>
    <xf numFmtId="0" fontId="13" fillId="0" borderId="9" xfId="0" applyFont="1" applyBorder="1" applyAlignment="1">
      <alignment vertical="center"/>
    </xf>
    <xf numFmtId="0" fontId="9" fillId="3" borderId="2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33" xfId="0" applyFont="1" applyBorder="1" applyAlignment="1">
      <alignment horizontal="center" vertical="center"/>
    </xf>
    <xf numFmtId="2" fontId="7" fillId="0" borderId="0" xfId="1" applyNumberFormat="1" applyFont="1" applyAlignment="1">
      <alignment horizontal="center"/>
    </xf>
    <xf numFmtId="164" fontId="7" fillId="0" borderId="0" xfId="1" applyFont="1" applyAlignment="1">
      <alignment horizontal="center" vertical="center"/>
    </xf>
    <xf numFmtId="164" fontId="9" fillId="0" borderId="0" xfId="1" applyFont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2" fontId="7" fillId="0" borderId="31" xfId="1" applyNumberFormat="1" applyFont="1" applyBorder="1" applyAlignment="1">
      <alignment horizontal="center"/>
    </xf>
    <xf numFmtId="164" fontId="9" fillId="0" borderId="31" xfId="1" applyFont="1" applyBorder="1" applyAlignment="1">
      <alignment horizontal="center"/>
    </xf>
    <xf numFmtId="2" fontId="7" fillId="0" borderId="32" xfId="1" applyNumberFormat="1" applyFont="1" applyBorder="1" applyAlignment="1">
      <alignment horizontal="center"/>
    </xf>
    <xf numFmtId="164" fontId="9" fillId="0" borderId="32" xfId="1" applyFont="1" applyBorder="1" applyAlignment="1">
      <alignment horizontal="center"/>
    </xf>
    <xf numFmtId="0" fontId="19" fillId="0" borderId="34" xfId="0" applyFont="1" applyBorder="1" applyAlignment="1">
      <alignment vertical="center"/>
    </xf>
    <xf numFmtId="0" fontId="7" fillId="0" borderId="36" xfId="0" applyFont="1" applyFill="1" applyBorder="1" applyAlignment="1">
      <alignment horizontal="center"/>
    </xf>
    <xf numFmtId="2" fontId="7" fillId="0" borderId="36" xfId="1" applyNumberFormat="1" applyFont="1" applyBorder="1" applyAlignment="1">
      <alignment horizontal="center"/>
    </xf>
    <xf numFmtId="164" fontId="9" fillId="0" borderId="36" xfId="1" applyFont="1" applyBorder="1" applyAlignment="1">
      <alignment horizontal="center"/>
    </xf>
    <xf numFmtId="164" fontId="9" fillId="3" borderId="1" xfId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/>
    </xf>
    <xf numFmtId="2" fontId="9" fillId="3" borderId="1" xfId="1" applyNumberFormat="1" applyFont="1" applyFill="1" applyBorder="1" applyAlignment="1">
      <alignment horizontal="center" vertical="center" wrapText="1" shrinkToFit="1"/>
    </xf>
    <xf numFmtId="2" fontId="9" fillId="3" borderId="1" xfId="1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 shrinkToFit="1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/>
    </xf>
    <xf numFmtId="2" fontId="9" fillId="0" borderId="30" xfId="0" applyNumberFormat="1" applyFont="1" applyFill="1" applyBorder="1" applyAlignment="1">
      <alignment horizontal="center"/>
    </xf>
    <xf numFmtId="2" fontId="7" fillId="0" borderId="31" xfId="0" applyNumberFormat="1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7" fillId="0" borderId="30" xfId="0" applyFont="1" applyFill="1" applyBorder="1"/>
    <xf numFmtId="0" fontId="7" fillId="0" borderId="31" xfId="0" applyFont="1" applyFill="1" applyBorder="1"/>
    <xf numFmtId="0" fontId="7" fillId="0" borderId="32" xfId="0" applyFont="1" applyFill="1" applyBorder="1"/>
    <xf numFmtId="0" fontId="9" fillId="0" borderId="0" xfId="0" applyFont="1" applyBorder="1"/>
    <xf numFmtId="2" fontId="9" fillId="3" borderId="38" xfId="0" applyNumberFormat="1" applyFont="1" applyFill="1" applyBorder="1" applyAlignment="1">
      <alignment horizontal="center" vertical="center" wrapText="1"/>
    </xf>
    <xf numFmtId="2" fontId="7" fillId="3" borderId="3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9" fillId="3" borderId="38" xfId="0" applyNumberFormat="1" applyFont="1" applyFill="1" applyBorder="1" applyAlignment="1">
      <alignment horizontal="center" vertical="center" wrapText="1" shrinkToFit="1"/>
    </xf>
    <xf numFmtId="2" fontId="7" fillId="3" borderId="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right" wrapText="1"/>
    </xf>
    <xf numFmtId="2" fontId="7" fillId="0" borderId="0" xfId="1" applyNumberFormat="1" applyFont="1" applyAlignment="1">
      <alignment vertical="center"/>
    </xf>
    <xf numFmtId="2" fontId="8" fillId="0" borderId="0" xfId="1" applyNumberFormat="1" applyFont="1" applyBorder="1" applyAlignment="1">
      <alignment vertical="center"/>
    </xf>
    <xf numFmtId="2" fontId="7" fillId="0" borderId="16" xfId="1" applyNumberFormat="1" applyFont="1" applyFill="1" applyBorder="1" applyAlignment="1">
      <alignment vertical="center"/>
    </xf>
    <xf numFmtId="2" fontId="10" fillId="0" borderId="16" xfId="1" applyNumberFormat="1" applyFont="1" applyFill="1" applyBorder="1" applyAlignment="1">
      <alignment vertical="center"/>
    </xf>
    <xf numFmtId="2" fontId="9" fillId="0" borderId="12" xfId="1" applyNumberFormat="1" applyFont="1" applyFill="1" applyBorder="1"/>
    <xf numFmtId="2" fontId="7" fillId="0" borderId="0" xfId="1" applyNumberFormat="1" applyFont="1"/>
    <xf numFmtId="2" fontId="7" fillId="0" borderId="0" xfId="1" applyNumberFormat="1" applyFont="1" applyBorder="1"/>
    <xf numFmtId="2" fontId="7" fillId="0" borderId="2" xfId="1" applyNumberFormat="1" applyFont="1" applyFill="1" applyBorder="1" applyAlignment="1">
      <alignment horizontal="right" wrapText="1"/>
    </xf>
    <xf numFmtId="2" fontId="7" fillId="0" borderId="3" xfId="1" applyNumberFormat="1" applyFont="1" applyFill="1" applyBorder="1" applyAlignment="1">
      <alignment horizontal="right" wrapText="1"/>
    </xf>
    <xf numFmtId="2" fontId="7" fillId="0" borderId="21" xfId="0" applyNumberFormat="1" applyFont="1" applyFill="1" applyBorder="1" applyAlignment="1">
      <alignment horizontal="right" wrapText="1"/>
    </xf>
    <xf numFmtId="2" fontId="7" fillId="0" borderId="0" xfId="0" applyNumberFormat="1" applyFont="1" applyAlignment="1">
      <alignment horizontal="right" wrapText="1"/>
    </xf>
    <xf numFmtId="2" fontId="7" fillId="0" borderId="0" xfId="1" applyNumberFormat="1" applyFont="1" applyBorder="1" applyAlignment="1">
      <alignment horizontal="right" wrapText="1"/>
    </xf>
    <xf numFmtId="2" fontId="7" fillId="0" borderId="22" xfId="1" applyNumberFormat="1" applyFont="1" applyBorder="1" applyAlignment="1">
      <alignment horizontal="right" wrapText="1"/>
    </xf>
    <xf numFmtId="2" fontId="9" fillId="0" borderId="8" xfId="1" applyNumberFormat="1" applyFont="1" applyBorder="1" applyAlignment="1">
      <alignment horizontal="right" wrapText="1"/>
    </xf>
    <xf numFmtId="2" fontId="9" fillId="0" borderId="23" xfId="1" applyNumberFormat="1" applyFont="1" applyBorder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2" fontId="7" fillId="0" borderId="0" xfId="0" applyNumberFormat="1" applyFont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9" fillId="0" borderId="0" xfId="0" applyFont="1" applyAlignment="1">
      <alignment horizontal="center" wrapText="1"/>
    </xf>
    <xf numFmtId="0" fontId="26" fillId="0" borderId="6" xfId="0" applyFont="1" applyFill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30" fillId="0" borderId="0" xfId="0" applyFont="1" applyAlignment="1">
      <alignment horizontal="center" wrapText="1"/>
    </xf>
    <xf numFmtId="2" fontId="30" fillId="0" borderId="0" xfId="0" applyNumberFormat="1" applyFont="1"/>
    <xf numFmtId="0" fontId="30" fillId="0" borderId="0" xfId="0" applyFont="1"/>
    <xf numFmtId="0" fontId="30" fillId="0" borderId="0" xfId="0" applyFont="1" applyAlignment="1"/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31" fillId="0" borderId="21" xfId="0" applyFont="1" applyBorder="1" applyAlignment="1">
      <alignment vertical="center" wrapText="1"/>
    </xf>
    <xf numFmtId="8" fontId="31" fillId="0" borderId="21" xfId="0" applyNumberFormat="1" applyFont="1" applyBorder="1" applyAlignment="1">
      <alignment vertical="center"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horizontal="right" vertical="center"/>
    </xf>
    <xf numFmtId="8" fontId="32" fillId="2" borderId="6" xfId="2" applyNumberFormat="1" applyFont="1" applyFill="1" applyBorder="1" applyAlignment="1">
      <alignment vertical="center"/>
    </xf>
    <xf numFmtId="2" fontId="7" fillId="0" borderId="28" xfId="0" applyNumberFormat="1" applyFont="1" applyBorder="1" applyAlignment="1">
      <alignment horizontal="center" wrapText="1"/>
    </xf>
    <xf numFmtId="10" fontId="7" fillId="0" borderId="0" xfId="0" applyNumberFormat="1" applyFont="1" applyFill="1" applyBorder="1"/>
    <xf numFmtId="0" fontId="9" fillId="0" borderId="34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center"/>
    </xf>
    <xf numFmtId="2" fontId="31" fillId="0" borderId="6" xfId="3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4" fillId="0" borderId="6" xfId="0" applyFont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 wrapText="1"/>
    </xf>
    <xf numFmtId="2" fontId="9" fillId="3" borderId="44" xfId="0" applyNumberFormat="1" applyFont="1" applyFill="1" applyBorder="1" applyAlignment="1">
      <alignment horizontal="center" vertical="center" wrapText="1"/>
    </xf>
    <xf numFmtId="2" fontId="7" fillId="0" borderId="49" xfId="1" applyNumberFormat="1" applyFont="1" applyBorder="1" applyAlignment="1">
      <alignment horizontal="center"/>
    </xf>
    <xf numFmtId="2" fontId="7" fillId="0" borderId="34" xfId="1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8" fillId="4" borderId="24" xfId="0" applyFont="1" applyFill="1" applyBorder="1" applyAlignment="1">
      <alignment vertical="center"/>
    </xf>
    <xf numFmtId="2" fontId="9" fillId="4" borderId="25" xfId="0" applyNumberFormat="1" applyFont="1" applyFill="1" applyBorder="1" applyAlignment="1">
      <alignment horizontal="center" wrapText="1"/>
    </xf>
    <xf numFmtId="2" fontId="9" fillId="4" borderId="26" xfId="0" applyNumberFormat="1" applyFont="1" applyFill="1" applyBorder="1" applyAlignment="1">
      <alignment horizontal="center" wrapText="1"/>
    </xf>
    <xf numFmtId="0" fontId="8" fillId="4" borderId="24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164" fontId="9" fillId="0" borderId="31" xfId="1" applyFont="1" applyBorder="1" applyAlignment="1">
      <alignment horizontal="center" vertical="center"/>
    </xf>
    <xf numFmtId="164" fontId="7" fillId="0" borderId="31" xfId="1" applyFont="1" applyBorder="1" applyAlignment="1">
      <alignment horizontal="center"/>
    </xf>
    <xf numFmtId="164" fontId="7" fillId="0" borderId="46" xfId="1" applyFont="1" applyBorder="1" applyAlignment="1">
      <alignment horizontal="center"/>
    </xf>
    <xf numFmtId="164" fontId="7" fillId="0" borderId="48" xfId="1" applyFont="1" applyBorder="1" applyAlignment="1">
      <alignment horizontal="center"/>
    </xf>
    <xf numFmtId="44" fontId="7" fillId="0" borderId="0" xfId="0" applyNumberFormat="1" applyFont="1"/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8" fontId="32" fillId="2" borderId="6" xfId="2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2" fontId="31" fillId="2" borderId="6" xfId="2" applyNumberFormat="1" applyFont="1" applyFill="1" applyBorder="1" applyAlignment="1">
      <alignment horizontal="center" vertical="center"/>
    </xf>
    <xf numFmtId="44" fontId="4" fillId="0" borderId="0" xfId="2" applyFont="1"/>
    <xf numFmtId="0" fontId="28" fillId="0" borderId="0" xfId="0" applyFont="1" applyFill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16" fillId="0" borderId="0" xfId="0" applyNumberFormat="1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 wrapText="1"/>
    </xf>
    <xf numFmtId="1" fontId="32" fillId="0" borderId="0" xfId="2" applyNumberFormat="1" applyFont="1" applyFill="1" applyBorder="1" applyAlignment="1">
      <alignment horizontal="center" vertical="center"/>
    </xf>
    <xf numFmtId="0" fontId="13" fillId="0" borderId="50" xfId="0" applyFont="1" applyBorder="1" applyAlignment="1">
      <alignment vertical="center"/>
    </xf>
    <xf numFmtId="164" fontId="7" fillId="0" borderId="51" xfId="1" applyFont="1" applyBorder="1" applyAlignment="1">
      <alignment horizontal="center"/>
    </xf>
    <xf numFmtId="164" fontId="7" fillId="0" borderId="52" xfId="1" applyFont="1" applyBorder="1" applyAlignment="1">
      <alignment horizontal="center"/>
    </xf>
    <xf numFmtId="164" fontId="9" fillId="0" borderId="54" xfId="1" applyFont="1" applyBorder="1" applyAlignment="1">
      <alignment horizontal="center" vertical="center"/>
    </xf>
    <xf numFmtId="164" fontId="9" fillId="0" borderId="53" xfId="1" applyFont="1" applyBorder="1" applyAlignment="1">
      <alignment horizontal="center" vertical="center"/>
    </xf>
    <xf numFmtId="164" fontId="7" fillId="0" borderId="54" xfId="1" applyFont="1" applyBorder="1" applyAlignment="1">
      <alignment horizontal="center"/>
    </xf>
    <xf numFmtId="164" fontId="7" fillId="0" borderId="55" xfId="1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vertical="center"/>
    </xf>
    <xf numFmtId="4" fontId="32" fillId="0" borderId="0" xfId="1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8" fontId="32" fillId="2" borderId="4" xfId="2" applyNumberFormat="1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wrapText="1" shrinkToFit="1"/>
    </xf>
    <xf numFmtId="2" fontId="9" fillId="0" borderId="31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4" fontId="15" fillId="0" borderId="16" xfId="1" applyNumberFormat="1" applyFont="1" applyBorder="1" applyAlignment="1">
      <alignment horizontal="center" vertical="center"/>
    </xf>
    <xf numFmtId="4" fontId="15" fillId="0" borderId="16" xfId="1" applyNumberFormat="1" applyFont="1" applyFill="1" applyBorder="1" applyAlignment="1">
      <alignment horizontal="center" vertical="center"/>
    </xf>
    <xf numFmtId="4" fontId="15" fillId="0" borderId="7" xfId="1" applyNumberFormat="1" applyFont="1" applyBorder="1" applyAlignment="1">
      <alignment horizontal="center" vertical="center"/>
    </xf>
    <xf numFmtId="4" fontId="15" fillId="0" borderId="2" xfId="1" applyNumberFormat="1" applyFont="1" applyBorder="1" applyAlignment="1">
      <alignment horizontal="center" vertical="center"/>
    </xf>
    <xf numFmtId="4" fontId="7" fillId="0" borderId="2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44" fontId="32" fillId="2" borderId="6" xfId="2" applyFont="1" applyFill="1" applyBorder="1" applyAlignment="1">
      <alignment vertical="center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25" fillId="0" borderId="38" xfId="0" applyNumberFormat="1" applyFont="1" applyFill="1" applyBorder="1" applyAlignment="1">
      <alignment horizontal="center" vertical="center" wrapText="1"/>
    </xf>
    <xf numFmtId="4" fontId="25" fillId="0" borderId="2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vertical="center" wrapText="1"/>
    </xf>
    <xf numFmtId="44" fontId="32" fillId="2" borderId="11" xfId="2" applyFont="1" applyFill="1" applyBorder="1" applyAlignment="1">
      <alignment horizontal="center" vertical="center"/>
    </xf>
    <xf numFmtId="44" fontId="32" fillId="2" borderId="12" xfId="2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8" fontId="31" fillId="0" borderId="7" xfId="0" applyNumberFormat="1" applyFont="1" applyBorder="1" applyAlignment="1">
      <alignment horizontal="center" vertical="center"/>
    </xf>
    <xf numFmtId="8" fontId="31" fillId="0" borderId="3" xfId="0" applyNumberFormat="1" applyFont="1" applyBorder="1" applyAlignment="1">
      <alignment horizontal="center" vertical="center"/>
    </xf>
    <xf numFmtId="2" fontId="31" fillId="0" borderId="39" xfId="3" applyNumberFormat="1" applyFont="1" applyBorder="1" applyAlignment="1">
      <alignment horizontal="center" vertical="center"/>
    </xf>
    <xf numFmtId="2" fontId="31" fillId="0" borderId="40" xfId="3" applyNumberFormat="1" applyFont="1" applyBorder="1" applyAlignment="1">
      <alignment horizontal="center" vertical="center"/>
    </xf>
    <xf numFmtId="8" fontId="31" fillId="0" borderId="7" xfId="0" applyNumberFormat="1" applyFont="1" applyBorder="1" applyAlignment="1">
      <alignment horizontal="right" vertical="center"/>
    </xf>
    <xf numFmtId="0" fontId="31" fillId="0" borderId="3" xfId="0" applyFont="1" applyBorder="1" applyAlignment="1">
      <alignment horizontal="righ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8" fontId="31" fillId="0" borderId="11" xfId="0" applyNumberFormat="1" applyFont="1" applyBorder="1" applyAlignment="1">
      <alignment horizontal="right" vertical="center"/>
    </xf>
    <xf numFmtId="0" fontId="31" fillId="0" borderId="12" xfId="0" applyFont="1" applyBorder="1" applyAlignment="1">
      <alignment horizontal="right" vertical="center"/>
    </xf>
    <xf numFmtId="1" fontId="32" fillId="2" borderId="11" xfId="2" applyNumberFormat="1" applyFont="1" applyFill="1" applyBorder="1" applyAlignment="1">
      <alignment horizontal="center" vertical="center"/>
    </xf>
    <xf numFmtId="1" fontId="32" fillId="2" borderId="12" xfId="2" applyNumberFormat="1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right" vertical="center" wrapText="1"/>
    </xf>
    <xf numFmtId="0" fontId="27" fillId="2" borderId="14" xfId="0" applyFont="1" applyFill="1" applyBorder="1" applyAlignment="1">
      <alignment horizontal="right" vertical="center" wrapText="1"/>
    </xf>
    <xf numFmtId="0" fontId="27" fillId="2" borderId="5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33" fillId="0" borderId="0" xfId="4" applyBorder="1" applyAlignment="1">
      <alignment horizontal="center" vertical="center" wrapText="1"/>
    </xf>
    <xf numFmtId="2" fontId="35" fillId="0" borderId="2" xfId="0" applyNumberFormat="1" applyFont="1" applyBorder="1" applyAlignment="1">
      <alignment horizontal="center" vertical="center" wrapText="1"/>
    </xf>
    <xf numFmtId="2" fontId="35" fillId="0" borderId="3" xfId="0" applyNumberFormat="1" applyFont="1" applyBorder="1" applyAlignment="1">
      <alignment horizontal="center" vertical="center" wrapText="1"/>
    </xf>
    <xf numFmtId="2" fontId="31" fillId="0" borderId="7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/>
    </xf>
    <xf numFmtId="2" fontId="31" fillId="0" borderId="7" xfId="3" applyNumberFormat="1" applyFont="1" applyBorder="1" applyAlignment="1">
      <alignment horizontal="center" vertical="center"/>
    </xf>
    <xf numFmtId="2" fontId="31" fillId="0" borderId="3" xfId="3" applyNumberFormat="1" applyFont="1" applyBorder="1" applyAlignment="1">
      <alignment horizontal="center" vertical="center"/>
    </xf>
    <xf numFmtId="8" fontId="31" fillId="0" borderId="3" xfId="0" applyNumberFormat="1" applyFont="1" applyBorder="1" applyAlignment="1">
      <alignment horizontal="right" vertical="center"/>
    </xf>
    <xf numFmtId="164" fontId="17" fillId="0" borderId="34" xfId="1" applyFont="1" applyFill="1" applyBorder="1" applyAlignment="1">
      <alignment horizontal="center" vertical="center" wrapText="1"/>
    </xf>
    <xf numFmtId="164" fontId="17" fillId="0" borderId="35" xfId="1" applyFont="1" applyFill="1" applyBorder="1" applyAlignment="1">
      <alignment horizontal="center" vertical="center" wrapText="1"/>
    </xf>
    <xf numFmtId="2" fontId="17" fillId="0" borderId="34" xfId="1" applyNumberFormat="1" applyFont="1" applyFill="1" applyBorder="1" applyAlignment="1">
      <alignment horizontal="center" vertical="center" wrapText="1"/>
    </xf>
    <xf numFmtId="2" fontId="17" fillId="0" borderId="35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justify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33" fillId="0" borderId="0" xfId="4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8" fontId="31" fillId="0" borderId="10" xfId="0" applyNumberFormat="1" applyFont="1" applyBorder="1" applyAlignment="1">
      <alignment horizontal="center" vertical="center"/>
    </xf>
    <xf numFmtId="8" fontId="31" fillId="0" borderId="18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 wrapText="1"/>
    </xf>
    <xf numFmtId="2" fontId="17" fillId="0" borderId="29" xfId="0" applyNumberFormat="1" applyFont="1" applyFill="1" applyBorder="1" applyAlignment="1">
      <alignment horizontal="center" vertical="center" wrapText="1"/>
    </xf>
    <xf numFmtId="1" fontId="32" fillId="2" borderId="7" xfId="2" applyNumberFormat="1" applyFont="1" applyFill="1" applyBorder="1" applyAlignment="1">
      <alignment horizontal="center" vertical="center"/>
    </xf>
    <xf numFmtId="1" fontId="32" fillId="2" borderId="3" xfId="2" applyNumberFormat="1" applyFont="1" applyFill="1" applyBorder="1" applyAlignment="1">
      <alignment horizontal="center" vertical="center"/>
    </xf>
    <xf numFmtId="2" fontId="35" fillId="0" borderId="7" xfId="0" applyNumberFormat="1" applyFont="1" applyBorder="1" applyAlignment="1">
      <alignment horizontal="center" vertical="center" wrapText="1"/>
    </xf>
    <xf numFmtId="44" fontId="32" fillId="2" borderId="7" xfId="2" applyFont="1" applyFill="1" applyBorder="1" applyAlignment="1">
      <alignment horizontal="center" vertical="center"/>
    </xf>
    <xf numFmtId="44" fontId="32" fillId="2" borderId="3" xfId="2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4" fontId="25" fillId="0" borderId="38" xfId="0" applyNumberFormat="1" applyFont="1" applyFill="1" applyBorder="1" applyAlignment="1">
      <alignment horizontal="center" vertical="center"/>
    </xf>
    <xf numFmtId="4" fontId="25" fillId="0" borderId="27" xfId="0" applyNumberFormat="1" applyFont="1" applyFill="1" applyBorder="1" applyAlignment="1">
      <alignment horizontal="center" vertical="center"/>
    </xf>
    <xf numFmtId="2" fontId="15" fillId="0" borderId="13" xfId="0" applyNumberFormat="1" applyFont="1" applyBorder="1" applyAlignment="1">
      <alignment horizontal="right" vertical="center" wrapText="1"/>
    </xf>
    <xf numFmtId="2" fontId="15" fillId="0" borderId="16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15" fillId="0" borderId="0" xfId="0" applyFont="1" applyAlignment="1">
      <alignment horizontal="justify" vertical="center" wrapText="1"/>
    </xf>
    <xf numFmtId="0" fontId="15" fillId="0" borderId="15" xfId="0" applyFont="1" applyBorder="1" applyAlignment="1">
      <alignment horizontal="justify" vertical="center" wrapText="1"/>
    </xf>
    <xf numFmtId="2" fontId="7" fillId="0" borderId="16" xfId="0" applyNumberFormat="1" applyFont="1" applyBorder="1" applyAlignment="1">
      <alignment horizontal="right" wrapText="1"/>
    </xf>
    <xf numFmtId="2" fontId="7" fillId="0" borderId="12" xfId="0" applyNumberFormat="1" applyFont="1" applyBorder="1" applyAlignment="1">
      <alignment horizontal="right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1" xfId="0" applyFont="1" applyFill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2" fontId="15" fillId="0" borderId="7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2" fontId="15" fillId="0" borderId="2" xfId="0" applyNumberFormat="1" applyFont="1" applyBorder="1" applyAlignment="1">
      <alignment horizontal="right" vertical="center" wrapText="1"/>
    </xf>
    <xf numFmtId="2" fontId="15" fillId="0" borderId="3" xfId="0" applyNumberFormat="1" applyFont="1" applyBorder="1" applyAlignment="1">
      <alignment horizontal="right" vertical="center" wrapText="1"/>
    </xf>
    <xf numFmtId="2" fontId="21" fillId="0" borderId="16" xfId="0" applyNumberFormat="1" applyFont="1" applyBorder="1" applyAlignment="1">
      <alignment horizontal="right" wrapText="1"/>
    </xf>
    <xf numFmtId="2" fontId="21" fillId="0" borderId="12" xfId="0" applyNumberFormat="1" applyFont="1" applyBorder="1" applyAlignment="1">
      <alignment horizontal="right" wrapText="1"/>
    </xf>
    <xf numFmtId="0" fontId="15" fillId="0" borderId="2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C0C0C0"/>
      <color rgb="FF0033CC"/>
      <color rgb="FF0000CC"/>
      <color rgb="FF0000FF"/>
      <color rgb="FF3399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pas.umh.es/files/2019/04/CALCULO-RC-nuevo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erviciopas.umh.es/files/2019/04/CALCULO-RC-nuevo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erviciopas.umh.es/files/2019/04/CALCULO-RC-nuevo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erviciopas.umh.es/files/2019/04/CALCULO-RC-nuevo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erviciopas.umh.es/files/2019/04/CALCULO-RC-nuevo.xls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serviciopas.umh.es/files/2019/04/CALCULO-RC-nuevo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serviciopas.umh.es/files/2019/04/CALCULO-RC-nuevo.xls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serviciopas.umh.es/files/2019/04/CALCULO-RC-nuevo.xls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4" zoomScaleNormal="100" workbookViewId="0">
      <selection activeCell="A36" sqref="A36"/>
    </sheetView>
  </sheetViews>
  <sheetFormatPr baseColWidth="10" defaultColWidth="11.5703125" defaultRowHeight="12.75" x14ac:dyDescent="0.2"/>
  <cols>
    <col min="1" max="1" width="15" style="33" customWidth="1"/>
    <col min="2" max="2" width="19.7109375" style="33" customWidth="1"/>
    <col min="3" max="3" width="0.140625" style="33" hidden="1" customWidth="1"/>
    <col min="4" max="4" width="18.28515625" style="112" customWidth="1"/>
    <col min="5" max="5" width="18.28515625" style="8" customWidth="1"/>
    <col min="6" max="6" width="24.85546875" style="8" customWidth="1"/>
    <col min="7" max="7" width="18.42578125" style="8" customWidth="1"/>
    <col min="8" max="8" width="11.5703125" style="8"/>
    <col min="9" max="9" width="19.7109375" style="35" customWidth="1"/>
    <col min="10" max="10" width="19.42578125" style="19" customWidth="1"/>
    <col min="11" max="11" width="18.7109375" style="8" customWidth="1"/>
    <col min="12" max="12" width="17.7109375" style="111" customWidth="1"/>
    <col min="13" max="13" width="14.140625" style="8" customWidth="1"/>
    <col min="14" max="16384" width="11.5703125" style="8"/>
  </cols>
  <sheetData>
    <row r="1" spans="1:13" ht="51.75" customHeight="1" x14ac:dyDescent="0.2">
      <c r="A1" s="210" t="s">
        <v>100</v>
      </c>
      <c r="B1" s="211"/>
      <c r="C1" s="211"/>
      <c r="D1" s="211"/>
      <c r="E1" s="211"/>
      <c r="F1" s="211"/>
      <c r="G1" s="211"/>
    </row>
    <row r="2" spans="1:13" s="36" customFormat="1" ht="28.5" customHeight="1" x14ac:dyDescent="0.2">
      <c r="A2" s="44"/>
      <c r="B2" s="216" t="s">
        <v>47</v>
      </c>
      <c r="C2" s="216"/>
      <c r="D2" s="216"/>
      <c r="E2" s="42"/>
      <c r="F2" s="216" t="s">
        <v>48</v>
      </c>
      <c r="G2" s="217"/>
      <c r="I2" s="212" t="s">
        <v>52</v>
      </c>
      <c r="J2" s="212"/>
      <c r="K2" s="212"/>
      <c r="L2" s="212" t="s">
        <v>56</v>
      </c>
      <c r="M2" s="212"/>
    </row>
    <row r="3" spans="1:13" s="27" customFormat="1" ht="178.5" x14ac:dyDescent="0.2">
      <c r="A3" s="43" t="s">
        <v>45</v>
      </c>
      <c r="B3" s="40" t="s">
        <v>46</v>
      </c>
      <c r="C3" s="40" t="s">
        <v>53</v>
      </c>
      <c r="D3" s="186" t="s">
        <v>49</v>
      </c>
      <c r="E3" s="40" t="s">
        <v>45</v>
      </c>
      <c r="F3" s="40" t="s">
        <v>46</v>
      </c>
      <c r="G3" s="41" t="s">
        <v>50</v>
      </c>
      <c r="I3" s="120" t="s">
        <v>51</v>
      </c>
      <c r="J3" s="120" t="s">
        <v>62</v>
      </c>
      <c r="K3" s="120" t="s">
        <v>63</v>
      </c>
      <c r="L3" s="121" t="s">
        <v>54</v>
      </c>
      <c r="M3" s="120" t="s">
        <v>55</v>
      </c>
    </row>
    <row r="4" spans="1:13" ht="16.5" customHeight="1" x14ac:dyDescent="0.2">
      <c r="A4" s="37">
        <v>40</v>
      </c>
      <c r="B4" s="45">
        <f>PARAMETROS!B2</f>
        <v>2638.2726700000003</v>
      </c>
      <c r="C4" s="45"/>
      <c r="D4" s="127"/>
      <c r="E4" s="37">
        <v>40</v>
      </c>
      <c r="F4" s="45">
        <f>PARAMETROS!C2</f>
        <v>3429.7546466666672</v>
      </c>
      <c r="G4" s="45">
        <f>IF(F4&gt;=$K$4,$K$4*$K$18%,F4*$K$18%)</f>
        <v>1118.1000148133335</v>
      </c>
      <c r="I4" s="213">
        <v>1</v>
      </c>
      <c r="J4" s="214">
        <v>1572.3</v>
      </c>
      <c r="K4" s="214">
        <v>4139.3999999999996</v>
      </c>
      <c r="L4" s="214">
        <v>1125.9000000000001</v>
      </c>
      <c r="M4" s="214">
        <v>4139.3999999999996</v>
      </c>
    </row>
    <row r="5" spans="1:13" ht="16.5" customHeight="1" x14ac:dyDescent="0.2">
      <c r="A5" s="38">
        <v>39</v>
      </c>
      <c r="B5" s="46">
        <f t="shared" ref="B5:B41" si="0">PRODUCT(B$4,A5)/A$4</f>
        <v>2572.3158532500001</v>
      </c>
      <c r="C5" s="187">
        <f>((A5/$A$4*7.5*5)/7)*30*$D$44</f>
        <v>1483.9151785714284</v>
      </c>
      <c r="D5" s="127">
        <f>IF(B5&lt;C5,C5*$K$18%,B5*$K$18%)</f>
        <v>838.57496815950003</v>
      </c>
      <c r="E5" s="38">
        <v>39</v>
      </c>
      <c r="F5" s="46">
        <f t="shared" ref="F5:F41" si="1">PRODUCT(F$4,E5)/E$4</f>
        <v>3344.0107805000007</v>
      </c>
      <c r="G5" s="46">
        <f t="shared" ref="G5:G41" si="2">IF(F5&gt;=$K$4,$K$4*$K$18%,F5*$K$18%)</f>
        <v>1090.1475144430003</v>
      </c>
      <c r="I5" s="213"/>
      <c r="J5" s="215"/>
      <c r="K5" s="215"/>
      <c r="L5" s="215"/>
      <c r="M5" s="215"/>
    </row>
    <row r="6" spans="1:13" ht="16.5" customHeight="1" x14ac:dyDescent="0.2">
      <c r="A6" s="38">
        <v>36</v>
      </c>
      <c r="B6" s="46">
        <f t="shared" si="0"/>
        <v>2374.4454030000002</v>
      </c>
      <c r="C6" s="187">
        <f t="shared" ref="C6:C41" si="3">((A6/A$4*7.5*5)/7)*30*$D$44</f>
        <v>1369.7678571428571</v>
      </c>
      <c r="D6" s="127">
        <f t="shared" ref="D6:D41" si="4">IF(B6&lt;C6,C6*$K$18%,B6*$K$18%)</f>
        <v>774.06920137800012</v>
      </c>
      <c r="E6" s="38">
        <v>36</v>
      </c>
      <c r="F6" s="46">
        <f t="shared" si="1"/>
        <v>3086.7791820000007</v>
      </c>
      <c r="G6" s="46">
        <f t="shared" si="2"/>
        <v>1006.2900133320003</v>
      </c>
      <c r="J6" s="8"/>
    </row>
    <row r="7" spans="1:13" ht="16.5" customHeight="1" thickBot="1" x14ac:dyDescent="0.25">
      <c r="A7" s="38">
        <v>35</v>
      </c>
      <c r="B7" s="46">
        <f t="shared" si="0"/>
        <v>2308.4885862500005</v>
      </c>
      <c r="C7" s="187">
        <f t="shared" si="3"/>
        <v>1331.71875</v>
      </c>
      <c r="D7" s="127">
        <f t="shared" si="4"/>
        <v>752.56727911750022</v>
      </c>
      <c r="E7" s="38">
        <v>35</v>
      </c>
      <c r="F7" s="46">
        <f t="shared" si="1"/>
        <v>3001.0353158333337</v>
      </c>
      <c r="G7" s="46">
        <f t="shared" si="2"/>
        <v>978.33751296166679</v>
      </c>
    </row>
    <row r="8" spans="1:13" ht="16.5" customHeight="1" x14ac:dyDescent="0.2">
      <c r="A8" s="38">
        <v>34</v>
      </c>
      <c r="B8" s="46">
        <f t="shared" si="0"/>
        <v>2242.5317695000003</v>
      </c>
      <c r="C8" s="187">
        <f t="shared" si="3"/>
        <v>1293.6696428571429</v>
      </c>
      <c r="D8" s="127">
        <f t="shared" si="4"/>
        <v>731.0653568570001</v>
      </c>
      <c r="E8" s="38">
        <v>34</v>
      </c>
      <c r="F8" s="46">
        <f t="shared" si="1"/>
        <v>2915.2914496666672</v>
      </c>
      <c r="G8" s="46">
        <f t="shared" si="2"/>
        <v>950.38501259133352</v>
      </c>
      <c r="I8" s="222" t="s">
        <v>66</v>
      </c>
      <c r="J8" s="222"/>
      <c r="K8" s="223"/>
      <c r="L8" s="220">
        <v>0</v>
      </c>
    </row>
    <row r="9" spans="1:13" ht="16.5" customHeight="1" thickBot="1" x14ac:dyDescent="0.25">
      <c r="A9" s="38">
        <v>33</v>
      </c>
      <c r="B9" s="46">
        <f t="shared" si="0"/>
        <v>2176.5749527500002</v>
      </c>
      <c r="C9" s="187">
        <f t="shared" si="3"/>
        <v>1255.6205357142856</v>
      </c>
      <c r="D9" s="127">
        <f t="shared" si="4"/>
        <v>709.56343459650009</v>
      </c>
      <c r="E9" s="38">
        <v>33</v>
      </c>
      <c r="F9" s="46">
        <f t="shared" si="1"/>
        <v>2829.5475835000007</v>
      </c>
      <c r="G9" s="46">
        <f t="shared" si="2"/>
        <v>922.43251222100025</v>
      </c>
      <c r="I9" s="222"/>
      <c r="J9" s="222"/>
      <c r="K9" s="223"/>
      <c r="L9" s="221"/>
    </row>
    <row r="10" spans="1:13" ht="16.5" customHeight="1" thickBot="1" x14ac:dyDescent="0.25">
      <c r="A10" s="38">
        <v>32</v>
      </c>
      <c r="B10" s="46">
        <f t="shared" si="0"/>
        <v>2110.618136</v>
      </c>
      <c r="C10" s="187">
        <f t="shared" si="3"/>
        <v>1217.5714285714284</v>
      </c>
      <c r="D10" s="127">
        <f t="shared" si="4"/>
        <v>688.06151233600008</v>
      </c>
      <c r="E10" s="38">
        <v>32</v>
      </c>
      <c r="F10" s="46">
        <f t="shared" si="1"/>
        <v>2743.8037173333337</v>
      </c>
      <c r="G10" s="46">
        <f t="shared" si="2"/>
        <v>894.48001185066676</v>
      </c>
      <c r="I10" s="116"/>
      <c r="J10" s="117"/>
      <c r="K10" s="118"/>
      <c r="L10" s="119"/>
    </row>
    <row r="11" spans="1:13" ht="16.5" customHeight="1" x14ac:dyDescent="0.2">
      <c r="A11" s="38">
        <v>31</v>
      </c>
      <c r="B11" s="46">
        <f t="shared" si="0"/>
        <v>2044.6613192500001</v>
      </c>
      <c r="C11" s="187">
        <f t="shared" si="3"/>
        <v>1179.5223214285716</v>
      </c>
      <c r="D11" s="127">
        <f t="shared" si="4"/>
        <v>666.55959007550007</v>
      </c>
      <c r="E11" s="38">
        <v>31</v>
      </c>
      <c r="F11" s="46">
        <f t="shared" si="1"/>
        <v>2658.0598511666672</v>
      </c>
      <c r="G11" s="46">
        <f t="shared" si="2"/>
        <v>866.52751148033349</v>
      </c>
      <c r="I11" s="224" t="s">
        <v>64</v>
      </c>
      <c r="J11" s="225"/>
      <c r="K11" s="225"/>
      <c r="L11" s="226"/>
    </row>
    <row r="12" spans="1:13" ht="16.5" customHeight="1" thickBot="1" x14ac:dyDescent="0.25">
      <c r="A12" s="38">
        <v>30</v>
      </c>
      <c r="B12" s="46">
        <f t="shared" si="0"/>
        <v>1978.7045025000002</v>
      </c>
      <c r="C12" s="187">
        <f t="shared" si="3"/>
        <v>1141.4732142857144</v>
      </c>
      <c r="D12" s="127">
        <f t="shared" si="4"/>
        <v>645.05766781500006</v>
      </c>
      <c r="E12" s="38">
        <v>30</v>
      </c>
      <c r="F12" s="46">
        <f t="shared" si="1"/>
        <v>2572.3159850000002</v>
      </c>
      <c r="G12" s="46">
        <f t="shared" si="2"/>
        <v>838.5750111100001</v>
      </c>
      <c r="I12" s="227"/>
      <c r="J12" s="228"/>
      <c r="K12" s="228"/>
      <c r="L12" s="229"/>
    </row>
    <row r="13" spans="1:13" ht="16.5" customHeight="1" thickBot="1" x14ac:dyDescent="0.25">
      <c r="A13" s="38">
        <v>29</v>
      </c>
      <c r="B13" s="46">
        <f t="shared" si="0"/>
        <v>1912.7476857500001</v>
      </c>
      <c r="C13" s="187">
        <f t="shared" si="3"/>
        <v>1103.4241071428573</v>
      </c>
      <c r="D13" s="127">
        <f t="shared" si="4"/>
        <v>623.55574555450005</v>
      </c>
      <c r="E13" s="38">
        <v>29</v>
      </c>
      <c r="F13" s="46">
        <f t="shared" si="1"/>
        <v>2486.5721188333337</v>
      </c>
      <c r="G13" s="46">
        <f t="shared" si="2"/>
        <v>810.62251073966684</v>
      </c>
      <c r="I13" s="113"/>
      <c r="J13" s="114" t="s">
        <v>57</v>
      </c>
      <c r="K13" s="130" t="s">
        <v>58</v>
      </c>
      <c r="L13" s="115" t="s">
        <v>59</v>
      </c>
    </row>
    <row r="14" spans="1:13" ht="16.5" customHeight="1" x14ac:dyDescent="0.2">
      <c r="A14" s="38">
        <v>28</v>
      </c>
      <c r="B14" s="46">
        <f t="shared" si="0"/>
        <v>1846.7908690000004</v>
      </c>
      <c r="C14" s="187">
        <f t="shared" si="3"/>
        <v>1065.375</v>
      </c>
      <c r="D14" s="127">
        <f t="shared" si="4"/>
        <v>602.05382329400015</v>
      </c>
      <c r="E14" s="38">
        <v>28</v>
      </c>
      <c r="F14" s="46">
        <f t="shared" si="1"/>
        <v>2400.8282526666671</v>
      </c>
      <c r="G14" s="46">
        <f t="shared" si="2"/>
        <v>782.67001036933357</v>
      </c>
      <c r="I14" s="230" t="s">
        <v>60</v>
      </c>
      <c r="J14" s="232">
        <f>IF(L8&gt;=J4,L8,J4)</f>
        <v>1572.3</v>
      </c>
      <c r="K14" s="234">
        <v>23.6</v>
      </c>
      <c r="L14" s="240">
        <f>J14*K14%</f>
        <v>371.06280000000004</v>
      </c>
    </row>
    <row r="15" spans="1:13" ht="16.5" customHeight="1" thickBot="1" x14ac:dyDescent="0.25">
      <c r="A15" s="38">
        <v>27</v>
      </c>
      <c r="B15" s="46">
        <f t="shared" si="0"/>
        <v>1780.8340522500002</v>
      </c>
      <c r="C15" s="187">
        <f t="shared" si="3"/>
        <v>1027.3258928571429</v>
      </c>
      <c r="D15" s="127">
        <f t="shared" si="4"/>
        <v>580.55190103350014</v>
      </c>
      <c r="E15" s="38">
        <v>27</v>
      </c>
      <c r="F15" s="46">
        <f t="shared" si="1"/>
        <v>2315.0843865000002</v>
      </c>
      <c r="G15" s="46">
        <f t="shared" si="2"/>
        <v>754.71750999900007</v>
      </c>
      <c r="I15" s="231"/>
      <c r="J15" s="233"/>
      <c r="K15" s="235"/>
      <c r="L15" s="241"/>
    </row>
    <row r="16" spans="1:13" ht="16.5" customHeight="1" x14ac:dyDescent="0.2">
      <c r="A16" s="38">
        <v>26</v>
      </c>
      <c r="B16" s="46">
        <f t="shared" si="0"/>
        <v>1714.8772355000001</v>
      </c>
      <c r="C16" s="187">
        <f t="shared" si="3"/>
        <v>989.27678571428589</v>
      </c>
      <c r="D16" s="127">
        <f t="shared" si="4"/>
        <v>559.04997877300002</v>
      </c>
      <c r="E16" s="38">
        <v>26</v>
      </c>
      <c r="F16" s="46">
        <f t="shared" si="1"/>
        <v>2229.3405203333336</v>
      </c>
      <c r="G16" s="46">
        <f t="shared" si="2"/>
        <v>726.7650096286668</v>
      </c>
      <c r="I16" s="238" t="s">
        <v>61</v>
      </c>
      <c r="J16" s="232">
        <f>IF(L8&gt;=L4,L8,L4)</f>
        <v>1125.9000000000001</v>
      </c>
      <c r="K16" s="234">
        <v>9</v>
      </c>
      <c r="L16" s="236">
        <f>J16*K16%</f>
        <v>101.331</v>
      </c>
    </row>
    <row r="17" spans="1:14" ht="16.5" customHeight="1" thickBot="1" x14ac:dyDescent="0.25">
      <c r="A17" s="38">
        <v>25</v>
      </c>
      <c r="B17" s="46">
        <f t="shared" si="0"/>
        <v>1648.9204187500004</v>
      </c>
      <c r="C17" s="187">
        <f t="shared" si="3"/>
        <v>951.22767857142867</v>
      </c>
      <c r="D17" s="127">
        <f t="shared" si="4"/>
        <v>537.54805651250012</v>
      </c>
      <c r="E17" s="38">
        <v>25</v>
      </c>
      <c r="F17" s="46">
        <f t="shared" si="1"/>
        <v>2143.5966541666667</v>
      </c>
      <c r="G17" s="46">
        <f t="shared" si="2"/>
        <v>698.81250925833331</v>
      </c>
      <c r="I17" s="239"/>
      <c r="J17" s="233"/>
      <c r="K17" s="235">
        <v>0.2</v>
      </c>
      <c r="L17" s="237"/>
    </row>
    <row r="18" spans="1:14" ht="16.5" customHeight="1" thickBot="1" x14ac:dyDescent="0.25">
      <c r="A18" s="38">
        <v>24</v>
      </c>
      <c r="B18" s="46">
        <f t="shared" si="0"/>
        <v>1582.9636020000003</v>
      </c>
      <c r="C18" s="187">
        <f t="shared" si="3"/>
        <v>913.17857142857156</v>
      </c>
      <c r="D18" s="127">
        <f t="shared" si="4"/>
        <v>516.04613425200012</v>
      </c>
      <c r="E18" s="38">
        <v>24</v>
      </c>
      <c r="F18" s="46">
        <f t="shared" si="1"/>
        <v>2057.8527880000001</v>
      </c>
      <c r="G18" s="46">
        <f t="shared" si="2"/>
        <v>670.86000888800004</v>
      </c>
      <c r="I18" s="218" t="s">
        <v>65</v>
      </c>
      <c r="J18" s="219"/>
      <c r="K18" s="131">
        <f>(K14+K16)</f>
        <v>32.6</v>
      </c>
      <c r="L18" s="126">
        <f>SUM(L14:L17)</f>
        <v>472.39380000000006</v>
      </c>
    </row>
    <row r="19" spans="1:14" ht="16.5" customHeight="1" x14ac:dyDescent="0.2">
      <c r="A19" s="38">
        <v>23</v>
      </c>
      <c r="B19" s="46">
        <f t="shared" si="0"/>
        <v>1517.0067852500001</v>
      </c>
      <c r="C19" s="187">
        <f t="shared" si="3"/>
        <v>875.12946428571422</v>
      </c>
      <c r="D19" s="127">
        <f t="shared" si="4"/>
        <v>494.54421199150005</v>
      </c>
      <c r="E19" s="38">
        <v>23</v>
      </c>
      <c r="F19" s="46">
        <f t="shared" si="1"/>
        <v>1972.1089218333339</v>
      </c>
      <c r="G19" s="46">
        <f t="shared" si="2"/>
        <v>642.90750851766688</v>
      </c>
      <c r="I19" s="122"/>
      <c r="J19" s="123"/>
      <c r="K19" s="124"/>
      <c r="L19" s="125"/>
    </row>
    <row r="20" spans="1:14" ht="16.5" customHeight="1" x14ac:dyDescent="0.2">
      <c r="A20" s="38">
        <v>22</v>
      </c>
      <c r="B20" s="46">
        <f t="shared" si="0"/>
        <v>1451.0499685000002</v>
      </c>
      <c r="C20" s="187">
        <f t="shared" si="3"/>
        <v>837.08035714285734</v>
      </c>
      <c r="D20" s="127">
        <f t="shared" si="4"/>
        <v>473.0422897310001</v>
      </c>
      <c r="E20" s="38">
        <v>22</v>
      </c>
      <c r="F20" s="46">
        <f t="shared" si="1"/>
        <v>1886.3650556666671</v>
      </c>
      <c r="G20" s="46">
        <f t="shared" si="2"/>
        <v>614.9550081473335</v>
      </c>
      <c r="I20" s="209" t="s">
        <v>82</v>
      </c>
      <c r="J20" s="209"/>
      <c r="K20" s="209"/>
      <c r="L20" s="209"/>
      <c r="M20" s="209"/>
      <c r="N20" s="145"/>
    </row>
    <row r="21" spans="1:14" ht="16.5" customHeight="1" x14ac:dyDescent="0.2">
      <c r="A21" s="38">
        <v>21</v>
      </c>
      <c r="B21" s="46">
        <f t="shared" si="0"/>
        <v>1385.0931517500001</v>
      </c>
      <c r="C21" s="187">
        <f t="shared" si="3"/>
        <v>799.03125</v>
      </c>
      <c r="D21" s="127">
        <f t="shared" si="4"/>
        <v>451.54036747050003</v>
      </c>
      <c r="E21" s="38">
        <v>21</v>
      </c>
      <c r="F21" s="46">
        <f t="shared" si="1"/>
        <v>1800.6211895000004</v>
      </c>
      <c r="G21" s="46">
        <f t="shared" si="2"/>
        <v>587.00250777700012</v>
      </c>
      <c r="I21" s="209"/>
      <c r="J21" s="209"/>
      <c r="K21" s="209"/>
      <c r="L21" s="209"/>
      <c r="M21" s="209"/>
      <c r="N21" s="145"/>
    </row>
    <row r="22" spans="1:14" ht="16.5" customHeight="1" thickBot="1" x14ac:dyDescent="0.25">
      <c r="A22" s="38">
        <v>20</v>
      </c>
      <c r="B22" s="46">
        <f t="shared" si="0"/>
        <v>1319.1363350000001</v>
      </c>
      <c r="C22" s="187">
        <f t="shared" si="3"/>
        <v>760.98214285714278</v>
      </c>
      <c r="D22" s="127">
        <f t="shared" si="4"/>
        <v>430.03844521000008</v>
      </c>
      <c r="E22" s="38">
        <v>20</v>
      </c>
      <c r="F22" s="46">
        <f t="shared" si="1"/>
        <v>1714.8773233333336</v>
      </c>
      <c r="G22" s="46">
        <f t="shared" si="2"/>
        <v>559.05000740666674</v>
      </c>
    </row>
    <row r="23" spans="1:14" ht="16.5" customHeight="1" x14ac:dyDescent="0.2">
      <c r="A23" s="38">
        <v>19</v>
      </c>
      <c r="B23" s="46">
        <f t="shared" si="0"/>
        <v>1253.1795182500002</v>
      </c>
      <c r="C23" s="187">
        <f t="shared" si="3"/>
        <v>722.93303571428589</v>
      </c>
      <c r="D23" s="127">
        <f t="shared" si="4"/>
        <v>408.53652294950007</v>
      </c>
      <c r="E23" s="38">
        <v>19</v>
      </c>
      <c r="F23" s="46">
        <f t="shared" si="1"/>
        <v>1629.1334571666671</v>
      </c>
      <c r="G23" s="46">
        <f t="shared" si="2"/>
        <v>531.09750703633347</v>
      </c>
      <c r="I23" s="222" t="s">
        <v>67</v>
      </c>
      <c r="J23" s="222"/>
      <c r="K23" s="223"/>
      <c r="L23" s="242">
        <v>0</v>
      </c>
    </row>
    <row r="24" spans="1:14" ht="16.5" customHeight="1" thickBot="1" x14ac:dyDescent="0.25">
      <c r="A24" s="38">
        <v>18</v>
      </c>
      <c r="B24" s="46">
        <f t="shared" si="0"/>
        <v>1187.2227015000001</v>
      </c>
      <c r="C24" s="187">
        <f t="shared" si="3"/>
        <v>684.88392857142856</v>
      </c>
      <c r="D24" s="127">
        <f t="shared" si="4"/>
        <v>387.03460068900006</v>
      </c>
      <c r="E24" s="38">
        <v>18</v>
      </c>
      <c r="F24" s="46">
        <f t="shared" si="1"/>
        <v>1543.3895910000003</v>
      </c>
      <c r="G24" s="46">
        <f t="shared" si="2"/>
        <v>503.14500666600014</v>
      </c>
      <c r="I24" s="222"/>
      <c r="J24" s="222"/>
      <c r="K24" s="223"/>
      <c r="L24" s="243"/>
    </row>
    <row r="25" spans="1:14" ht="16.5" customHeight="1" thickBot="1" x14ac:dyDescent="0.25">
      <c r="A25" s="38">
        <v>17</v>
      </c>
      <c r="B25" s="46">
        <f t="shared" si="0"/>
        <v>1121.2658847500002</v>
      </c>
      <c r="C25" s="187">
        <f t="shared" si="3"/>
        <v>646.83482142857144</v>
      </c>
      <c r="D25" s="127">
        <f t="shared" si="4"/>
        <v>365.53267842850005</v>
      </c>
      <c r="E25" s="38">
        <v>17</v>
      </c>
      <c r="F25" s="46">
        <f t="shared" si="1"/>
        <v>1457.6457248333336</v>
      </c>
      <c r="G25" s="46">
        <f t="shared" si="2"/>
        <v>475.19250629566676</v>
      </c>
    </row>
    <row r="26" spans="1:14" ht="16.5" customHeight="1" x14ac:dyDescent="0.2">
      <c r="A26" s="38">
        <v>16</v>
      </c>
      <c r="B26" s="46">
        <f t="shared" si="0"/>
        <v>1055.309068</v>
      </c>
      <c r="C26" s="187">
        <f t="shared" si="3"/>
        <v>608.78571428571422</v>
      </c>
      <c r="D26" s="127">
        <f t="shared" si="4"/>
        <v>344.03075616800004</v>
      </c>
      <c r="E26" s="38">
        <v>16</v>
      </c>
      <c r="F26" s="46">
        <f t="shared" si="1"/>
        <v>1371.9018586666668</v>
      </c>
      <c r="G26" s="46">
        <f t="shared" si="2"/>
        <v>447.24000592533338</v>
      </c>
      <c r="I26" s="222" t="s">
        <v>72</v>
      </c>
      <c r="J26" s="222"/>
      <c r="K26" s="223"/>
      <c r="L26" s="220">
        <v>0</v>
      </c>
    </row>
    <row r="27" spans="1:14" ht="16.5" customHeight="1" thickBot="1" x14ac:dyDescent="0.25">
      <c r="A27" s="38">
        <v>15</v>
      </c>
      <c r="B27" s="46">
        <f t="shared" si="0"/>
        <v>989.35225125000011</v>
      </c>
      <c r="C27" s="187">
        <f t="shared" si="3"/>
        <v>570.73660714285722</v>
      </c>
      <c r="D27" s="127">
        <f t="shared" si="4"/>
        <v>322.52883390750003</v>
      </c>
      <c r="E27" s="38">
        <v>15</v>
      </c>
      <c r="F27" s="46">
        <f t="shared" si="1"/>
        <v>1286.1579925000001</v>
      </c>
      <c r="G27" s="46">
        <f t="shared" si="2"/>
        <v>419.28750555500005</v>
      </c>
      <c r="I27" s="222"/>
      <c r="J27" s="222"/>
      <c r="K27" s="223"/>
      <c r="L27" s="221"/>
    </row>
    <row r="28" spans="1:14" ht="16.5" customHeight="1" thickBot="1" x14ac:dyDescent="0.25">
      <c r="A28" s="38">
        <v>14</v>
      </c>
      <c r="B28" s="46">
        <f t="shared" si="0"/>
        <v>923.39543450000019</v>
      </c>
      <c r="C28" s="187">
        <f t="shared" si="3"/>
        <v>532.6875</v>
      </c>
      <c r="D28" s="127">
        <f t="shared" si="4"/>
        <v>301.02691164700008</v>
      </c>
      <c r="E28" s="38">
        <v>14</v>
      </c>
      <c r="F28" s="46">
        <f t="shared" si="1"/>
        <v>1200.4141263333336</v>
      </c>
      <c r="G28" s="46">
        <f t="shared" si="2"/>
        <v>391.33500518466678</v>
      </c>
    </row>
    <row r="29" spans="1:14" ht="16.5" customHeight="1" x14ac:dyDescent="0.2">
      <c r="A29" s="38">
        <v>13</v>
      </c>
      <c r="B29" s="46">
        <f t="shared" si="0"/>
        <v>857.43861775000005</v>
      </c>
      <c r="C29" s="187">
        <f t="shared" si="3"/>
        <v>494.63839285714295</v>
      </c>
      <c r="D29" s="127">
        <f t="shared" si="4"/>
        <v>279.52498938650001</v>
      </c>
      <c r="E29" s="38">
        <v>13</v>
      </c>
      <c r="F29" s="46">
        <f t="shared" si="1"/>
        <v>1114.6702601666668</v>
      </c>
      <c r="G29" s="46">
        <f t="shared" si="2"/>
        <v>363.3825048143334</v>
      </c>
      <c r="I29" s="224" t="s">
        <v>68</v>
      </c>
      <c r="J29" s="225"/>
      <c r="K29" s="225"/>
      <c r="L29" s="226"/>
    </row>
    <row r="30" spans="1:14" ht="16.5" customHeight="1" thickBot="1" x14ac:dyDescent="0.25">
      <c r="A30" s="38">
        <v>12</v>
      </c>
      <c r="B30" s="46">
        <f t="shared" si="0"/>
        <v>791.48180100000013</v>
      </c>
      <c r="C30" s="187">
        <f t="shared" si="3"/>
        <v>456.58928571428578</v>
      </c>
      <c r="D30" s="127">
        <f t="shared" si="4"/>
        <v>258.02306712600006</v>
      </c>
      <c r="E30" s="38">
        <v>12</v>
      </c>
      <c r="F30" s="46">
        <f t="shared" si="1"/>
        <v>1028.9263940000001</v>
      </c>
      <c r="G30" s="46">
        <f t="shared" si="2"/>
        <v>335.43000444400002</v>
      </c>
      <c r="I30" s="227"/>
      <c r="J30" s="228"/>
      <c r="K30" s="228"/>
      <c r="L30" s="229"/>
    </row>
    <row r="31" spans="1:14" ht="16.5" customHeight="1" thickBot="1" x14ac:dyDescent="0.25">
      <c r="A31" s="38">
        <v>11</v>
      </c>
      <c r="B31" s="46">
        <f t="shared" si="0"/>
        <v>725.5249842500001</v>
      </c>
      <c r="C31" s="187">
        <f t="shared" si="3"/>
        <v>418.54017857142867</v>
      </c>
      <c r="D31" s="127">
        <f t="shared" si="4"/>
        <v>236.52114486550005</v>
      </c>
      <c r="E31" s="38">
        <v>11</v>
      </c>
      <c r="F31" s="46">
        <f t="shared" si="1"/>
        <v>943.18252783333355</v>
      </c>
      <c r="G31" s="46">
        <f t="shared" si="2"/>
        <v>307.47750407366675</v>
      </c>
      <c r="I31" s="134" t="s">
        <v>73</v>
      </c>
      <c r="J31" s="132" t="s">
        <v>57</v>
      </c>
      <c r="K31" s="130" t="s">
        <v>74</v>
      </c>
      <c r="L31" s="115" t="s">
        <v>59</v>
      </c>
    </row>
    <row r="32" spans="1:14" ht="16.5" customHeight="1" x14ac:dyDescent="0.2">
      <c r="A32" s="38">
        <v>10</v>
      </c>
      <c r="B32" s="46">
        <f t="shared" si="0"/>
        <v>659.56816750000007</v>
      </c>
      <c r="C32" s="187">
        <f t="shared" si="3"/>
        <v>380.49107142857139</v>
      </c>
      <c r="D32" s="127">
        <f t="shared" si="4"/>
        <v>215.01922260500004</v>
      </c>
      <c r="E32" s="38">
        <v>10</v>
      </c>
      <c r="F32" s="46">
        <f t="shared" si="1"/>
        <v>857.4386616666668</v>
      </c>
      <c r="G32" s="46">
        <f t="shared" si="2"/>
        <v>279.52500370333337</v>
      </c>
      <c r="I32" s="249">
        <f>((L23/40*7.5*5)/7)*30*$D$44</f>
        <v>0</v>
      </c>
      <c r="J32" s="251">
        <f>IF(L26&lt;I32,I32,L26)</f>
        <v>0</v>
      </c>
      <c r="K32" s="253">
        <v>32.6</v>
      </c>
      <c r="L32" s="236">
        <f>J32*K32%</f>
        <v>0</v>
      </c>
    </row>
    <row r="33" spans="1:14" ht="16.5" customHeight="1" thickBot="1" x14ac:dyDescent="0.25">
      <c r="A33" s="38">
        <v>9</v>
      </c>
      <c r="B33" s="46">
        <f t="shared" si="0"/>
        <v>593.61135075000004</v>
      </c>
      <c r="C33" s="187">
        <f t="shared" si="3"/>
        <v>342.44196428571428</v>
      </c>
      <c r="D33" s="127">
        <f t="shared" si="4"/>
        <v>193.51730034450003</v>
      </c>
      <c r="E33" s="38">
        <v>9</v>
      </c>
      <c r="F33" s="46">
        <f t="shared" si="1"/>
        <v>771.69479550000017</v>
      </c>
      <c r="G33" s="46">
        <f t="shared" si="2"/>
        <v>251.57250333300007</v>
      </c>
      <c r="I33" s="250"/>
      <c r="J33" s="252"/>
      <c r="K33" s="254"/>
      <c r="L33" s="255"/>
    </row>
    <row r="34" spans="1:14" ht="16.5" customHeight="1" thickBot="1" x14ac:dyDescent="0.25">
      <c r="A34" s="38">
        <v>8</v>
      </c>
      <c r="B34" s="46">
        <f t="shared" si="0"/>
        <v>527.65453400000001</v>
      </c>
      <c r="C34" s="187">
        <f t="shared" si="3"/>
        <v>304.39285714285711</v>
      </c>
      <c r="D34" s="127">
        <f t="shared" si="4"/>
        <v>172.01537808400002</v>
      </c>
      <c r="E34" s="38">
        <v>8</v>
      </c>
      <c r="F34" s="46">
        <f t="shared" si="1"/>
        <v>685.95092933333342</v>
      </c>
      <c r="G34" s="46">
        <f t="shared" si="2"/>
        <v>223.62000296266669</v>
      </c>
      <c r="I34" s="244" t="s">
        <v>69</v>
      </c>
      <c r="J34" s="245"/>
      <c r="K34" s="246"/>
      <c r="L34" s="126">
        <f>SUM(L32)</f>
        <v>0</v>
      </c>
    </row>
    <row r="35" spans="1:14" ht="16.5" customHeight="1" x14ac:dyDescent="0.2">
      <c r="A35" s="38">
        <v>7</v>
      </c>
      <c r="B35" s="46">
        <f t="shared" si="0"/>
        <v>461.6977172500001</v>
      </c>
      <c r="C35" s="187">
        <f t="shared" si="3"/>
        <v>266.34375</v>
      </c>
      <c r="D35" s="127">
        <f t="shared" si="4"/>
        <v>150.51345582350004</v>
      </c>
      <c r="E35" s="38">
        <v>7</v>
      </c>
      <c r="F35" s="46">
        <f t="shared" si="1"/>
        <v>600.20706316666679</v>
      </c>
      <c r="G35" s="46">
        <f t="shared" si="2"/>
        <v>195.66750259233339</v>
      </c>
      <c r="N35" s="133"/>
    </row>
    <row r="36" spans="1:14" ht="16.5" customHeight="1" x14ac:dyDescent="0.2">
      <c r="A36" s="38">
        <v>6</v>
      </c>
      <c r="B36" s="46">
        <f t="shared" si="0"/>
        <v>395.74090050000007</v>
      </c>
      <c r="C36" s="187">
        <f t="shared" si="3"/>
        <v>228.29464285714289</v>
      </c>
      <c r="D36" s="127">
        <f t="shared" si="4"/>
        <v>129.01153356300003</v>
      </c>
      <c r="E36" s="38">
        <v>6</v>
      </c>
      <c r="F36" s="46">
        <f t="shared" si="1"/>
        <v>514.46319700000004</v>
      </c>
      <c r="G36" s="46">
        <f t="shared" si="2"/>
        <v>167.71500222200001</v>
      </c>
      <c r="I36" s="247" t="s">
        <v>71</v>
      </c>
      <c r="J36" s="247"/>
      <c r="K36" s="247"/>
      <c r="L36" s="247"/>
      <c r="M36" s="248" t="s">
        <v>70</v>
      </c>
      <c r="N36" s="133"/>
    </row>
    <row r="37" spans="1:14" ht="16.5" customHeight="1" x14ac:dyDescent="0.2">
      <c r="A37" s="38">
        <v>5</v>
      </c>
      <c r="B37" s="46">
        <f t="shared" si="0"/>
        <v>329.78408375000004</v>
      </c>
      <c r="C37" s="187">
        <f t="shared" si="3"/>
        <v>190.24553571428569</v>
      </c>
      <c r="D37" s="127">
        <f t="shared" si="4"/>
        <v>107.50961130250002</v>
      </c>
      <c r="E37" s="38">
        <v>5</v>
      </c>
      <c r="F37" s="46">
        <f t="shared" si="1"/>
        <v>428.7193308333334</v>
      </c>
      <c r="G37" s="46">
        <f t="shared" si="2"/>
        <v>139.76250185166668</v>
      </c>
      <c r="I37" s="247"/>
      <c r="J37" s="247"/>
      <c r="K37" s="247"/>
      <c r="L37" s="247"/>
      <c r="M37" s="248"/>
      <c r="N37" s="133"/>
    </row>
    <row r="38" spans="1:14" ht="16.5" customHeight="1" x14ac:dyDescent="0.2">
      <c r="A38" s="38">
        <v>4</v>
      </c>
      <c r="B38" s="46">
        <f t="shared" si="0"/>
        <v>263.82726700000001</v>
      </c>
      <c r="C38" s="187">
        <f t="shared" si="3"/>
        <v>152.19642857142856</v>
      </c>
      <c r="D38" s="127">
        <f t="shared" si="4"/>
        <v>86.00768904200001</v>
      </c>
      <c r="E38" s="38">
        <v>4</v>
      </c>
      <c r="F38" s="46">
        <f t="shared" si="1"/>
        <v>342.97546466666671</v>
      </c>
      <c r="G38" s="46">
        <f t="shared" si="2"/>
        <v>111.81000148133334</v>
      </c>
    </row>
    <row r="39" spans="1:14" ht="16.5" customHeight="1" x14ac:dyDescent="0.2">
      <c r="A39" s="38">
        <v>3</v>
      </c>
      <c r="B39" s="46">
        <f t="shared" si="0"/>
        <v>197.87045025000003</v>
      </c>
      <c r="C39" s="187">
        <f t="shared" si="3"/>
        <v>114.14732142857144</v>
      </c>
      <c r="D39" s="127">
        <f t="shared" si="4"/>
        <v>64.505766781500014</v>
      </c>
      <c r="E39" s="38">
        <v>3</v>
      </c>
      <c r="F39" s="46">
        <f t="shared" si="1"/>
        <v>257.23159850000002</v>
      </c>
      <c r="G39" s="46">
        <f t="shared" si="2"/>
        <v>83.857501111000005</v>
      </c>
    </row>
    <row r="40" spans="1:14" ht="16.5" customHeight="1" x14ac:dyDescent="0.2">
      <c r="A40" s="38">
        <v>2</v>
      </c>
      <c r="B40" s="46">
        <f t="shared" si="0"/>
        <v>131.9136335</v>
      </c>
      <c r="C40" s="187">
        <f t="shared" si="3"/>
        <v>76.098214285714278</v>
      </c>
      <c r="D40" s="127">
        <f t="shared" si="4"/>
        <v>43.003844521000005</v>
      </c>
      <c r="E40" s="38">
        <v>2</v>
      </c>
      <c r="F40" s="46">
        <f t="shared" si="1"/>
        <v>171.48773233333335</v>
      </c>
      <c r="G40" s="46">
        <f t="shared" si="2"/>
        <v>55.905000740666672</v>
      </c>
    </row>
    <row r="41" spans="1:14" ht="16.5" customHeight="1" x14ac:dyDescent="0.2">
      <c r="A41" s="39">
        <v>1</v>
      </c>
      <c r="B41" s="47">
        <f t="shared" si="0"/>
        <v>65.956816750000002</v>
      </c>
      <c r="C41" s="188">
        <f t="shared" si="3"/>
        <v>38.049107142857139</v>
      </c>
      <c r="D41" s="127">
        <f t="shared" si="4"/>
        <v>21.501922260500002</v>
      </c>
      <c r="E41" s="39">
        <v>1</v>
      </c>
      <c r="F41" s="47">
        <f t="shared" si="1"/>
        <v>85.743866166666677</v>
      </c>
      <c r="G41" s="47">
        <f t="shared" si="2"/>
        <v>27.952500370333336</v>
      </c>
    </row>
    <row r="42" spans="1:14" x14ac:dyDescent="0.2">
      <c r="D42" s="129"/>
    </row>
    <row r="43" spans="1:14" ht="13.5" hidden="1" thickBot="1" x14ac:dyDescent="0.25">
      <c r="C43" s="198" t="s">
        <v>99</v>
      </c>
    </row>
    <row r="44" spans="1:14" ht="39" hidden="1" thickBot="1" x14ac:dyDescent="0.25">
      <c r="B44" s="199" t="s">
        <v>14</v>
      </c>
      <c r="C44" s="200"/>
      <c r="D44" s="201">
        <v>9.4700000000000006</v>
      </c>
      <c r="E44" s="17"/>
    </row>
    <row r="45" spans="1:14" hidden="1" x14ac:dyDescent="0.2"/>
    <row r="46" spans="1:14" hidden="1" x14ac:dyDescent="0.2"/>
  </sheetData>
  <sheetProtection algorithmName="SHA-512" hashValue="glTi7vPjHsaR/Yi20aKklMVSVHlAkfzZUfzlf/Al8hfW616p3qjEIjnrDUqXdMzfgRS2QvqYjXB0KGWRR+kQ+g==" saltValue="0bMo5EbF68hO3KLBdD3NDQ==" spinCount="100000" sheet="1" objects="1" scenarios="1"/>
  <protectedRanges>
    <protectedRange sqref="L8" name="RET TC"/>
    <protectedRange sqref="L23" name="DED"/>
    <protectedRange sqref="L26" name="RET TP"/>
    <protectedRange sqref="M36" name="CALCULO RC"/>
  </protectedRanges>
  <mergeCells count="35">
    <mergeCell ref="I34:K34"/>
    <mergeCell ref="I36:L37"/>
    <mergeCell ref="M36:M37"/>
    <mergeCell ref="I32:I33"/>
    <mergeCell ref="J32:J33"/>
    <mergeCell ref="K32:K33"/>
    <mergeCell ref="L32:L33"/>
    <mergeCell ref="I26:K27"/>
    <mergeCell ref="L23:L24"/>
    <mergeCell ref="I23:K24"/>
    <mergeCell ref="L26:L27"/>
    <mergeCell ref="I29:L30"/>
    <mergeCell ref="J14:J15"/>
    <mergeCell ref="K14:K15"/>
    <mergeCell ref="L16:L17"/>
    <mergeCell ref="K16:K17"/>
    <mergeCell ref="I16:I17"/>
    <mergeCell ref="J16:J17"/>
    <mergeCell ref="L14:L15"/>
    <mergeCell ref="I20:M21"/>
    <mergeCell ref="A1:G1"/>
    <mergeCell ref="I2:K2"/>
    <mergeCell ref="I4:I5"/>
    <mergeCell ref="J4:J5"/>
    <mergeCell ref="K4:K5"/>
    <mergeCell ref="L2:M2"/>
    <mergeCell ref="B2:D2"/>
    <mergeCell ref="F2:G2"/>
    <mergeCell ref="L4:L5"/>
    <mergeCell ref="M4:M5"/>
    <mergeCell ref="I18:J18"/>
    <mergeCell ref="L8:L9"/>
    <mergeCell ref="I8:K9"/>
    <mergeCell ref="I11:L12"/>
    <mergeCell ref="I14:I15"/>
  </mergeCells>
  <phoneticPr fontId="3" type="noConversion"/>
  <hyperlinks>
    <hyperlink ref="M36:M37" r:id="rId1" display="CALCULO RC"/>
  </hyperlinks>
  <pageMargins left="0.94488188976377963" right="0.86614173228346458" top="9.46969696969697E-3" bottom="0.39370078740157483" header="0" footer="0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selection activeCell="D28" sqref="D28"/>
    </sheetView>
  </sheetViews>
  <sheetFormatPr baseColWidth="10" defaultColWidth="11.5703125" defaultRowHeight="12.75" x14ac:dyDescent="0.2"/>
  <cols>
    <col min="1" max="1" width="18.42578125" style="33" customWidth="1"/>
    <col min="2" max="2" width="24.85546875" style="51" customWidth="1"/>
    <col min="3" max="3" width="16.7109375" style="52" hidden="1" customWidth="1"/>
    <col min="4" max="4" width="18.42578125" style="53" customWidth="1"/>
    <col min="5" max="5" width="18.42578125" style="8" customWidth="1"/>
    <col min="6" max="6" width="24.85546875" style="50" customWidth="1"/>
    <col min="7" max="7" width="18.42578125" style="50" customWidth="1"/>
    <col min="8" max="8" width="11.5703125" style="8"/>
    <col min="9" max="9" width="19.140625" style="19" customWidth="1"/>
    <col min="10" max="10" width="17" style="8" bestFit="1" customWidth="1"/>
    <col min="11" max="11" width="19.85546875" style="8" bestFit="1" customWidth="1"/>
    <col min="12" max="12" width="16.140625" style="8" bestFit="1" customWidth="1"/>
    <col min="13" max="13" width="15.140625" style="8" customWidth="1"/>
    <col min="14" max="16384" width="11.5703125" style="8"/>
  </cols>
  <sheetData>
    <row r="1" spans="1:14" ht="65.25" customHeight="1" x14ac:dyDescent="0.2">
      <c r="A1" s="210" t="s">
        <v>103</v>
      </c>
      <c r="B1" s="211"/>
      <c r="C1" s="211"/>
      <c r="D1" s="211"/>
      <c r="E1" s="211"/>
      <c r="F1" s="211"/>
      <c r="G1" s="211"/>
    </row>
    <row r="2" spans="1:14" s="48" customFormat="1" ht="24" customHeight="1" x14ac:dyDescent="0.2">
      <c r="A2" s="49"/>
      <c r="B2" s="256" t="s">
        <v>47</v>
      </c>
      <c r="C2" s="256"/>
      <c r="D2" s="257"/>
      <c r="E2" s="58"/>
      <c r="F2" s="258" t="s">
        <v>48</v>
      </c>
      <c r="G2" s="259"/>
      <c r="I2" s="212" t="s">
        <v>52</v>
      </c>
      <c r="J2" s="212"/>
      <c r="K2" s="212"/>
      <c r="L2" s="212" t="s">
        <v>56</v>
      </c>
      <c r="M2" s="212"/>
      <c r="N2" s="36"/>
    </row>
    <row r="3" spans="1:14" s="27" customFormat="1" ht="38.25" x14ac:dyDescent="0.2">
      <c r="A3" s="40" t="s">
        <v>45</v>
      </c>
      <c r="B3" s="62" t="s">
        <v>46</v>
      </c>
      <c r="C3" s="63" t="s">
        <v>15</v>
      </c>
      <c r="D3" s="64" t="s">
        <v>49</v>
      </c>
      <c r="E3" s="40" t="s">
        <v>45</v>
      </c>
      <c r="F3" s="65" t="s">
        <v>46</v>
      </c>
      <c r="G3" s="64" t="s">
        <v>50</v>
      </c>
      <c r="I3" s="120" t="s">
        <v>51</v>
      </c>
      <c r="J3" s="120" t="s">
        <v>62</v>
      </c>
      <c r="K3" s="120" t="s">
        <v>63</v>
      </c>
      <c r="L3" s="121" t="s">
        <v>54</v>
      </c>
      <c r="M3" s="120" t="s">
        <v>55</v>
      </c>
    </row>
    <row r="4" spans="1:14" ht="15" customHeight="1" x14ac:dyDescent="0.2">
      <c r="A4" s="59">
        <v>40</v>
      </c>
      <c r="B4" s="60">
        <f>PARAMETROS!B23</f>
        <v>2167.1531150000001</v>
      </c>
      <c r="C4" s="61"/>
      <c r="D4" s="60"/>
      <c r="E4" s="59">
        <v>40</v>
      </c>
      <c r="F4" s="60">
        <f>PARAMETROS!C23</f>
        <v>2817.2980833333331</v>
      </c>
      <c r="G4" s="60">
        <f>IF(F4&gt;=$K$4,$K$4*$K$18%,F4*$K$18%)</f>
        <v>918.43917516666659</v>
      </c>
      <c r="I4" s="213">
        <v>1</v>
      </c>
      <c r="J4" s="214">
        <v>1572.3</v>
      </c>
      <c r="K4" s="214">
        <v>4139.3999999999996</v>
      </c>
      <c r="L4" s="214">
        <v>1125.9000000000001</v>
      </c>
      <c r="M4" s="214">
        <v>4139.3999999999996</v>
      </c>
    </row>
    <row r="5" spans="1:14" ht="15" customHeight="1" x14ac:dyDescent="0.2">
      <c r="A5" s="38">
        <v>39</v>
      </c>
      <c r="B5" s="54">
        <f>PRODUCT(B$4,A5)/A$4</f>
        <v>2112.974287125</v>
      </c>
      <c r="C5" s="55">
        <f>(A5/$A$4*7.5*5)/7*30*$C$46</f>
        <v>1483.9151785714284</v>
      </c>
      <c r="D5" s="54">
        <f>IF(B5&lt;C5,C5*$K$18%,B5*$K$18%)</f>
        <v>688.82961760275009</v>
      </c>
      <c r="E5" s="38">
        <v>39</v>
      </c>
      <c r="F5" s="54">
        <f>PRODUCT(F$4,E5)/E$4</f>
        <v>2746.8656312499998</v>
      </c>
      <c r="G5" s="60">
        <f t="shared" ref="G5:G43" si="0">IF(F5&gt;=$K$4,$K$4*$K$18%,F5*$K$18%)</f>
        <v>895.4781957875</v>
      </c>
      <c r="I5" s="213"/>
      <c r="J5" s="215"/>
      <c r="K5" s="215"/>
      <c r="L5" s="215"/>
      <c r="M5" s="215"/>
    </row>
    <row r="6" spans="1:14" ht="15" customHeight="1" x14ac:dyDescent="0.2">
      <c r="A6" s="38">
        <v>38</v>
      </c>
      <c r="B6" s="54">
        <f>PRODUCT(B$4,A6)/A$4</f>
        <v>2058.79545925</v>
      </c>
      <c r="C6" s="55">
        <f t="shared" ref="C6:C43" si="1">(A6/$A$4*7.5*5)/7*30*$C$46</f>
        <v>1445.8660714285718</v>
      </c>
      <c r="D6" s="54">
        <f t="shared" ref="D6:D43" si="2">IF(B6&lt;C6,C6*$K$18%,B6*$K$18%)</f>
        <v>671.16731971550007</v>
      </c>
      <c r="E6" s="38">
        <v>38</v>
      </c>
      <c r="F6" s="54">
        <f>PRODUCT(F$4,E6)/E$4</f>
        <v>2676.4331791666664</v>
      </c>
      <c r="G6" s="60">
        <f t="shared" si="0"/>
        <v>872.5172164083333</v>
      </c>
      <c r="I6" s="35"/>
      <c r="L6" s="111"/>
    </row>
    <row r="7" spans="1:14" ht="15" customHeight="1" thickBot="1" x14ac:dyDescent="0.25">
      <c r="A7" s="38">
        <v>37</v>
      </c>
      <c r="B7" s="54">
        <f t="shared" ref="B7:B43" si="3">PRODUCT(B$4,A7)/A$4</f>
        <v>2004.616631375</v>
      </c>
      <c r="C7" s="55">
        <f t="shared" si="1"/>
        <v>1407.8169642857147</v>
      </c>
      <c r="D7" s="54">
        <f t="shared" si="2"/>
        <v>653.50502182825005</v>
      </c>
      <c r="E7" s="38">
        <v>37</v>
      </c>
      <c r="F7" s="54">
        <f t="shared" ref="F7:F43" si="4">PRODUCT(F$4,E7)/E$4</f>
        <v>2606.000727083333</v>
      </c>
      <c r="G7" s="60">
        <f t="shared" si="0"/>
        <v>849.5562370291666</v>
      </c>
      <c r="I7" s="35"/>
      <c r="J7" s="19"/>
      <c r="L7" s="111"/>
    </row>
    <row r="8" spans="1:14" ht="15" customHeight="1" x14ac:dyDescent="0.2">
      <c r="A8" s="38">
        <v>36</v>
      </c>
      <c r="B8" s="54">
        <f t="shared" si="3"/>
        <v>1950.4378035000002</v>
      </c>
      <c r="C8" s="55">
        <f t="shared" si="1"/>
        <v>1369.7678571428571</v>
      </c>
      <c r="D8" s="54">
        <f t="shared" si="2"/>
        <v>635.84272394100014</v>
      </c>
      <c r="E8" s="38">
        <v>36</v>
      </c>
      <c r="F8" s="54">
        <f t="shared" si="4"/>
        <v>2535.5682750000001</v>
      </c>
      <c r="G8" s="60">
        <f t="shared" si="0"/>
        <v>826.59525765000001</v>
      </c>
      <c r="I8" s="222" t="s">
        <v>66</v>
      </c>
      <c r="J8" s="222"/>
      <c r="K8" s="223"/>
      <c r="L8" s="220">
        <v>0</v>
      </c>
    </row>
    <row r="9" spans="1:14" ht="15" customHeight="1" thickBot="1" x14ac:dyDescent="0.25">
      <c r="A9" s="38">
        <v>35</v>
      </c>
      <c r="B9" s="54">
        <f t="shared" si="3"/>
        <v>1896.2589756249999</v>
      </c>
      <c r="C9" s="55">
        <f t="shared" si="1"/>
        <v>1331.71875</v>
      </c>
      <c r="D9" s="54">
        <f t="shared" si="2"/>
        <v>618.18042605375001</v>
      </c>
      <c r="E9" s="38">
        <v>35</v>
      </c>
      <c r="F9" s="54">
        <f t="shared" si="4"/>
        <v>2465.1358229166663</v>
      </c>
      <c r="G9" s="60">
        <f t="shared" si="0"/>
        <v>803.63427827083319</v>
      </c>
      <c r="I9" s="222"/>
      <c r="J9" s="222"/>
      <c r="K9" s="223"/>
      <c r="L9" s="221"/>
    </row>
    <row r="10" spans="1:14" ht="15" customHeight="1" thickBot="1" x14ac:dyDescent="0.25">
      <c r="A10" s="38">
        <v>34</v>
      </c>
      <c r="B10" s="54">
        <f t="shared" si="3"/>
        <v>1842.0801477500002</v>
      </c>
      <c r="C10" s="55">
        <f t="shared" si="1"/>
        <v>1293.6696428571429</v>
      </c>
      <c r="D10" s="54">
        <f t="shared" si="2"/>
        <v>600.51812816650011</v>
      </c>
      <c r="E10" s="38">
        <v>34</v>
      </c>
      <c r="F10" s="54">
        <f t="shared" si="4"/>
        <v>2394.7033708333333</v>
      </c>
      <c r="G10" s="60">
        <f t="shared" si="0"/>
        <v>780.67329889166672</v>
      </c>
      <c r="I10" s="116"/>
      <c r="J10" s="117"/>
      <c r="K10" s="118"/>
      <c r="L10" s="119"/>
    </row>
    <row r="11" spans="1:14" ht="15" customHeight="1" x14ac:dyDescent="0.2">
      <c r="A11" s="38">
        <v>33</v>
      </c>
      <c r="B11" s="54">
        <f t="shared" si="3"/>
        <v>1787.9013198749999</v>
      </c>
      <c r="C11" s="55">
        <f t="shared" si="1"/>
        <v>1255.6205357142856</v>
      </c>
      <c r="D11" s="54">
        <f t="shared" si="2"/>
        <v>582.85583027924997</v>
      </c>
      <c r="E11" s="38">
        <v>33</v>
      </c>
      <c r="F11" s="54">
        <f t="shared" si="4"/>
        <v>2324.2709187499995</v>
      </c>
      <c r="G11" s="60">
        <f t="shared" si="0"/>
        <v>757.7123195124999</v>
      </c>
      <c r="I11" s="224" t="s">
        <v>64</v>
      </c>
      <c r="J11" s="225"/>
      <c r="K11" s="225"/>
      <c r="L11" s="226"/>
    </row>
    <row r="12" spans="1:14" ht="15" customHeight="1" thickBot="1" x14ac:dyDescent="0.25">
      <c r="A12" s="38">
        <v>32</v>
      </c>
      <c r="B12" s="54">
        <f t="shared" si="3"/>
        <v>1733.7224920000001</v>
      </c>
      <c r="C12" s="55">
        <f t="shared" si="1"/>
        <v>1217.5714285714284</v>
      </c>
      <c r="D12" s="54">
        <f t="shared" si="2"/>
        <v>565.19353239200007</v>
      </c>
      <c r="E12" s="38">
        <v>32</v>
      </c>
      <c r="F12" s="54">
        <f t="shared" si="4"/>
        <v>2253.8384666666666</v>
      </c>
      <c r="G12" s="60">
        <f t="shared" si="0"/>
        <v>734.75134013333331</v>
      </c>
      <c r="I12" s="227"/>
      <c r="J12" s="228"/>
      <c r="K12" s="228"/>
      <c r="L12" s="229"/>
    </row>
    <row r="13" spans="1:14" ht="15" customHeight="1" thickBot="1" x14ac:dyDescent="0.25">
      <c r="A13" s="38">
        <v>31</v>
      </c>
      <c r="B13" s="54">
        <f t="shared" si="3"/>
        <v>1679.5436641250003</v>
      </c>
      <c r="C13" s="55">
        <f t="shared" si="1"/>
        <v>1179.5223214285716</v>
      </c>
      <c r="D13" s="54">
        <f t="shared" si="2"/>
        <v>547.53123450475016</v>
      </c>
      <c r="E13" s="38">
        <v>31</v>
      </c>
      <c r="F13" s="54">
        <f t="shared" si="4"/>
        <v>2183.4060145833332</v>
      </c>
      <c r="G13" s="60">
        <f t="shared" si="0"/>
        <v>711.79036075416661</v>
      </c>
      <c r="I13" s="113"/>
      <c r="J13" s="114" t="s">
        <v>57</v>
      </c>
      <c r="K13" s="130" t="s">
        <v>58</v>
      </c>
      <c r="L13" s="115" t="s">
        <v>59</v>
      </c>
    </row>
    <row r="14" spans="1:14" ht="15" customHeight="1" x14ac:dyDescent="0.2">
      <c r="A14" s="38">
        <v>30</v>
      </c>
      <c r="B14" s="54">
        <f t="shared" si="3"/>
        <v>1625.3648362500001</v>
      </c>
      <c r="C14" s="55">
        <f t="shared" si="1"/>
        <v>1141.4732142857144</v>
      </c>
      <c r="D14" s="54">
        <f t="shared" si="2"/>
        <v>529.86893661750003</v>
      </c>
      <c r="E14" s="38">
        <v>30</v>
      </c>
      <c r="F14" s="54">
        <f t="shared" si="4"/>
        <v>2112.9735624999998</v>
      </c>
      <c r="G14" s="60">
        <f t="shared" si="0"/>
        <v>688.82938137500003</v>
      </c>
      <c r="I14" s="230" t="s">
        <v>60</v>
      </c>
      <c r="J14" s="232">
        <f>IF(L8&gt;=J4,L8,J4)</f>
        <v>1572.3</v>
      </c>
      <c r="K14" s="234">
        <v>23.6</v>
      </c>
      <c r="L14" s="240">
        <f>J14*K14%</f>
        <v>371.06280000000004</v>
      </c>
    </row>
    <row r="15" spans="1:14" ht="15" customHeight="1" thickBot="1" x14ac:dyDescent="0.25">
      <c r="A15" s="38">
        <v>29</v>
      </c>
      <c r="B15" s="54">
        <f t="shared" si="3"/>
        <v>1571.186008375</v>
      </c>
      <c r="C15" s="55">
        <f t="shared" si="1"/>
        <v>1103.4241071428573</v>
      </c>
      <c r="D15" s="54">
        <f t="shared" si="2"/>
        <v>512.20663873025001</v>
      </c>
      <c r="E15" s="38">
        <v>29</v>
      </c>
      <c r="F15" s="54">
        <f t="shared" si="4"/>
        <v>2042.5411104166665</v>
      </c>
      <c r="G15" s="60">
        <f t="shared" si="0"/>
        <v>665.86840199583332</v>
      </c>
      <c r="I15" s="231"/>
      <c r="J15" s="233"/>
      <c r="K15" s="235"/>
      <c r="L15" s="241"/>
    </row>
    <row r="16" spans="1:14" ht="15" customHeight="1" x14ac:dyDescent="0.2">
      <c r="A16" s="38">
        <v>28</v>
      </c>
      <c r="B16" s="54">
        <f t="shared" si="3"/>
        <v>1517.0071805</v>
      </c>
      <c r="C16" s="55">
        <f t="shared" si="1"/>
        <v>1065.375</v>
      </c>
      <c r="D16" s="54">
        <f t="shared" si="2"/>
        <v>494.54434084300004</v>
      </c>
      <c r="E16" s="38">
        <v>28</v>
      </c>
      <c r="F16" s="54">
        <f t="shared" si="4"/>
        <v>1972.1086583333331</v>
      </c>
      <c r="G16" s="60">
        <f t="shared" si="0"/>
        <v>642.90742261666662</v>
      </c>
      <c r="I16" s="238" t="s">
        <v>61</v>
      </c>
      <c r="J16" s="232">
        <f>IF(L8&gt;=L4,L8,L4)</f>
        <v>1125.9000000000001</v>
      </c>
      <c r="K16" s="234">
        <v>9</v>
      </c>
      <c r="L16" s="236">
        <f>J16*K16%</f>
        <v>101.331</v>
      </c>
    </row>
    <row r="17" spans="1:14" ht="15" customHeight="1" thickBot="1" x14ac:dyDescent="0.25">
      <c r="A17" s="38">
        <v>27</v>
      </c>
      <c r="B17" s="54">
        <f t="shared" si="3"/>
        <v>1462.8283526250002</v>
      </c>
      <c r="C17" s="55">
        <f t="shared" si="1"/>
        <v>1027.3258928571429</v>
      </c>
      <c r="D17" s="54">
        <f t="shared" si="2"/>
        <v>476.88204295575008</v>
      </c>
      <c r="E17" s="38">
        <v>27</v>
      </c>
      <c r="F17" s="54">
        <f t="shared" si="4"/>
        <v>1901.6762062499997</v>
      </c>
      <c r="G17" s="60">
        <f t="shared" si="0"/>
        <v>619.94644323749992</v>
      </c>
      <c r="I17" s="239"/>
      <c r="J17" s="233"/>
      <c r="K17" s="235">
        <v>0.2</v>
      </c>
      <c r="L17" s="237"/>
    </row>
    <row r="18" spans="1:14" ht="15" customHeight="1" thickBot="1" x14ac:dyDescent="0.25">
      <c r="A18" s="38">
        <v>26</v>
      </c>
      <c r="B18" s="54">
        <f t="shared" si="3"/>
        <v>1408.6495247500002</v>
      </c>
      <c r="C18" s="55">
        <f t="shared" si="1"/>
        <v>989.27678571428589</v>
      </c>
      <c r="D18" s="54">
        <f t="shared" si="2"/>
        <v>459.21974506850006</v>
      </c>
      <c r="E18" s="38">
        <v>26</v>
      </c>
      <c r="F18" s="54">
        <f t="shared" si="4"/>
        <v>1831.2437541666666</v>
      </c>
      <c r="G18" s="60">
        <f t="shared" si="0"/>
        <v>596.98546385833333</v>
      </c>
      <c r="I18" s="218" t="s">
        <v>65</v>
      </c>
      <c r="J18" s="219"/>
      <c r="K18" s="131">
        <f>(K14+K16)</f>
        <v>32.6</v>
      </c>
      <c r="L18" s="126">
        <f>SUM(L14:L17)</f>
        <v>472.39380000000006</v>
      </c>
    </row>
    <row r="19" spans="1:14" ht="15" customHeight="1" x14ac:dyDescent="0.2">
      <c r="A19" s="38">
        <v>25</v>
      </c>
      <c r="B19" s="54">
        <f t="shared" si="3"/>
        <v>1354.4706968750002</v>
      </c>
      <c r="C19" s="55">
        <f t="shared" si="1"/>
        <v>951.22767857142867</v>
      </c>
      <c r="D19" s="54">
        <f t="shared" si="2"/>
        <v>441.55744718125004</v>
      </c>
      <c r="E19" s="38">
        <v>25</v>
      </c>
      <c r="F19" s="54">
        <f t="shared" si="4"/>
        <v>1760.811302083333</v>
      </c>
      <c r="G19" s="60">
        <f t="shared" si="0"/>
        <v>574.02448447916652</v>
      </c>
      <c r="I19" s="122"/>
      <c r="J19" s="123"/>
      <c r="K19" s="124"/>
      <c r="L19" s="125"/>
    </row>
    <row r="20" spans="1:14" ht="15" customHeight="1" x14ac:dyDescent="0.2">
      <c r="A20" s="38">
        <v>24</v>
      </c>
      <c r="B20" s="54">
        <f t="shared" si="3"/>
        <v>1300.2918690000001</v>
      </c>
      <c r="C20" s="55">
        <f t="shared" si="1"/>
        <v>913.17857142857156</v>
      </c>
      <c r="D20" s="54">
        <f t="shared" si="2"/>
        <v>423.89514929400008</v>
      </c>
      <c r="E20" s="38">
        <v>24</v>
      </c>
      <c r="F20" s="54">
        <f t="shared" si="4"/>
        <v>1690.3788499999998</v>
      </c>
      <c r="G20" s="60">
        <f t="shared" si="0"/>
        <v>551.06350509999993</v>
      </c>
      <c r="I20" s="260" t="s">
        <v>82</v>
      </c>
      <c r="J20" s="260"/>
      <c r="K20" s="260"/>
      <c r="L20" s="260"/>
      <c r="M20" s="260"/>
      <c r="N20" s="260"/>
    </row>
    <row r="21" spans="1:14" ht="15" customHeight="1" x14ac:dyDescent="0.2">
      <c r="A21" s="38">
        <v>23</v>
      </c>
      <c r="B21" s="54">
        <f t="shared" si="3"/>
        <v>1246.1130411250001</v>
      </c>
      <c r="C21" s="55">
        <f t="shared" si="1"/>
        <v>875.12946428571422</v>
      </c>
      <c r="D21" s="54">
        <f t="shared" si="2"/>
        <v>406.23285140675006</v>
      </c>
      <c r="E21" s="38">
        <v>23</v>
      </c>
      <c r="F21" s="54">
        <f t="shared" si="4"/>
        <v>1619.9463979166665</v>
      </c>
      <c r="G21" s="60">
        <f t="shared" si="0"/>
        <v>528.10252572083323</v>
      </c>
      <c r="I21" s="260"/>
      <c r="J21" s="260"/>
      <c r="K21" s="260"/>
      <c r="L21" s="260"/>
      <c r="M21" s="260"/>
      <c r="N21" s="260"/>
    </row>
    <row r="22" spans="1:14" ht="15" customHeight="1" thickBot="1" x14ac:dyDescent="0.25">
      <c r="A22" s="38">
        <v>22</v>
      </c>
      <c r="B22" s="54">
        <f t="shared" si="3"/>
        <v>1191.9342132500001</v>
      </c>
      <c r="C22" s="55">
        <f t="shared" si="1"/>
        <v>837.08035714285734</v>
      </c>
      <c r="D22" s="54">
        <f t="shared" si="2"/>
        <v>388.57055351950004</v>
      </c>
      <c r="E22" s="38">
        <v>22</v>
      </c>
      <c r="F22" s="54">
        <f t="shared" si="4"/>
        <v>1549.5139458333331</v>
      </c>
      <c r="G22" s="60">
        <f t="shared" si="0"/>
        <v>505.14154634166658</v>
      </c>
      <c r="I22" s="35"/>
      <c r="J22" s="19"/>
      <c r="L22" s="111"/>
    </row>
    <row r="23" spans="1:14" ht="15" customHeight="1" x14ac:dyDescent="0.2">
      <c r="A23" s="38">
        <v>21</v>
      </c>
      <c r="B23" s="54">
        <f t="shared" si="3"/>
        <v>1137.7553853750001</v>
      </c>
      <c r="C23" s="55">
        <f t="shared" si="1"/>
        <v>799.03125</v>
      </c>
      <c r="D23" s="54">
        <f t="shared" si="2"/>
        <v>370.90825563225002</v>
      </c>
      <c r="E23" s="38">
        <v>21</v>
      </c>
      <c r="F23" s="54">
        <f t="shared" si="4"/>
        <v>1479.0814937499999</v>
      </c>
      <c r="G23" s="60">
        <f t="shared" si="0"/>
        <v>482.1805669625</v>
      </c>
      <c r="I23" s="222" t="s">
        <v>67</v>
      </c>
      <c r="J23" s="222"/>
      <c r="K23" s="223"/>
      <c r="L23" s="242">
        <v>0</v>
      </c>
    </row>
    <row r="24" spans="1:14" ht="15" customHeight="1" thickBot="1" x14ac:dyDescent="0.25">
      <c r="A24" s="38">
        <v>20</v>
      </c>
      <c r="B24" s="54">
        <f t="shared" si="3"/>
        <v>1083.5765575</v>
      </c>
      <c r="C24" s="55">
        <f t="shared" si="1"/>
        <v>760.98214285714278</v>
      </c>
      <c r="D24" s="54">
        <f t="shared" si="2"/>
        <v>353.245957745</v>
      </c>
      <c r="E24" s="38">
        <v>20</v>
      </c>
      <c r="F24" s="54">
        <f t="shared" si="4"/>
        <v>1408.6490416666666</v>
      </c>
      <c r="G24" s="60">
        <f t="shared" si="0"/>
        <v>459.21958758333329</v>
      </c>
      <c r="I24" s="222"/>
      <c r="J24" s="222"/>
      <c r="K24" s="223"/>
      <c r="L24" s="243"/>
    </row>
    <row r="25" spans="1:14" ht="15" customHeight="1" thickBot="1" x14ac:dyDescent="0.25">
      <c r="A25" s="38">
        <v>19</v>
      </c>
      <c r="B25" s="54">
        <f t="shared" si="3"/>
        <v>1029.397729625</v>
      </c>
      <c r="C25" s="55">
        <f t="shared" si="1"/>
        <v>722.93303571428589</v>
      </c>
      <c r="D25" s="54">
        <f t="shared" si="2"/>
        <v>335.58365985775004</v>
      </c>
      <c r="E25" s="38">
        <v>19</v>
      </c>
      <c r="F25" s="54">
        <f t="shared" si="4"/>
        <v>1338.2165895833332</v>
      </c>
      <c r="G25" s="60">
        <f t="shared" si="0"/>
        <v>436.25860820416665</v>
      </c>
      <c r="I25" s="35"/>
      <c r="J25" s="19"/>
      <c r="L25" s="111"/>
    </row>
    <row r="26" spans="1:14" ht="15" customHeight="1" x14ac:dyDescent="0.2">
      <c r="A26" s="38">
        <v>18</v>
      </c>
      <c r="B26" s="54">
        <f t="shared" si="3"/>
        <v>975.2189017500001</v>
      </c>
      <c r="C26" s="55">
        <f t="shared" si="1"/>
        <v>684.88392857142856</v>
      </c>
      <c r="D26" s="54">
        <f t="shared" si="2"/>
        <v>317.92136197050007</v>
      </c>
      <c r="E26" s="38">
        <v>18</v>
      </c>
      <c r="F26" s="54">
        <f t="shared" si="4"/>
        <v>1267.7841375</v>
      </c>
      <c r="G26" s="60">
        <f t="shared" si="0"/>
        <v>413.297628825</v>
      </c>
      <c r="I26" s="222" t="s">
        <v>72</v>
      </c>
      <c r="J26" s="222"/>
      <c r="K26" s="223"/>
      <c r="L26" s="220">
        <v>0</v>
      </c>
    </row>
    <row r="27" spans="1:14" ht="15" customHeight="1" thickBot="1" x14ac:dyDescent="0.25">
      <c r="A27" s="38">
        <v>17</v>
      </c>
      <c r="B27" s="54">
        <f t="shared" si="3"/>
        <v>921.04007387500008</v>
      </c>
      <c r="C27" s="55">
        <f t="shared" si="1"/>
        <v>646.83482142857144</v>
      </c>
      <c r="D27" s="54">
        <f t="shared" si="2"/>
        <v>300.25906408325005</v>
      </c>
      <c r="E27" s="38">
        <v>17</v>
      </c>
      <c r="F27" s="54">
        <f t="shared" si="4"/>
        <v>1197.3516854166667</v>
      </c>
      <c r="G27" s="60">
        <f t="shared" si="0"/>
        <v>390.33664944583336</v>
      </c>
      <c r="I27" s="222"/>
      <c r="J27" s="222"/>
      <c r="K27" s="223"/>
      <c r="L27" s="221"/>
    </row>
    <row r="28" spans="1:14" ht="15" customHeight="1" thickBot="1" x14ac:dyDescent="0.25">
      <c r="A28" s="38">
        <v>16</v>
      </c>
      <c r="B28" s="54">
        <f t="shared" si="3"/>
        <v>866.86124600000005</v>
      </c>
      <c r="C28" s="55">
        <f t="shared" si="1"/>
        <v>608.78571428571422</v>
      </c>
      <c r="D28" s="54">
        <f t="shared" si="2"/>
        <v>282.59676619600003</v>
      </c>
      <c r="E28" s="38">
        <v>16</v>
      </c>
      <c r="F28" s="54">
        <f t="shared" si="4"/>
        <v>1126.9192333333333</v>
      </c>
      <c r="G28" s="60">
        <f t="shared" si="0"/>
        <v>367.37567006666666</v>
      </c>
      <c r="I28" s="35"/>
      <c r="J28" s="19"/>
      <c r="L28" s="111"/>
    </row>
    <row r="29" spans="1:14" ht="15" customHeight="1" x14ac:dyDescent="0.2">
      <c r="A29" s="38">
        <v>15</v>
      </c>
      <c r="B29" s="54">
        <f t="shared" si="3"/>
        <v>812.68241812500003</v>
      </c>
      <c r="C29" s="55">
        <f t="shared" si="1"/>
        <v>570.73660714285722</v>
      </c>
      <c r="D29" s="54">
        <f t="shared" si="2"/>
        <v>264.93446830875001</v>
      </c>
      <c r="E29" s="38">
        <v>15</v>
      </c>
      <c r="F29" s="54">
        <f t="shared" si="4"/>
        <v>1056.4867812499999</v>
      </c>
      <c r="G29" s="60">
        <f t="shared" si="0"/>
        <v>344.41469068750001</v>
      </c>
      <c r="I29" s="224" t="s">
        <v>68</v>
      </c>
      <c r="J29" s="225"/>
      <c r="K29" s="225"/>
      <c r="L29" s="226"/>
    </row>
    <row r="30" spans="1:14" ht="15" customHeight="1" thickBot="1" x14ac:dyDescent="0.25">
      <c r="A30" s="38">
        <v>14</v>
      </c>
      <c r="B30" s="54">
        <f t="shared" si="3"/>
        <v>758.50359025</v>
      </c>
      <c r="C30" s="55">
        <f t="shared" si="1"/>
        <v>532.6875</v>
      </c>
      <c r="D30" s="54">
        <f t="shared" si="2"/>
        <v>247.27217042150002</v>
      </c>
      <c r="E30" s="38">
        <v>14</v>
      </c>
      <c r="F30" s="54">
        <f t="shared" si="4"/>
        <v>986.05432916666655</v>
      </c>
      <c r="G30" s="60">
        <f t="shared" si="0"/>
        <v>321.45371130833331</v>
      </c>
      <c r="I30" s="227"/>
      <c r="J30" s="228"/>
      <c r="K30" s="228"/>
      <c r="L30" s="229"/>
    </row>
    <row r="31" spans="1:14" ht="15" customHeight="1" thickBot="1" x14ac:dyDescent="0.25">
      <c r="A31" s="38">
        <v>13</v>
      </c>
      <c r="B31" s="54">
        <f t="shared" si="3"/>
        <v>704.32476237500009</v>
      </c>
      <c r="C31" s="55">
        <f t="shared" si="1"/>
        <v>494.63839285714295</v>
      </c>
      <c r="D31" s="54">
        <f t="shared" si="2"/>
        <v>229.60987253425003</v>
      </c>
      <c r="E31" s="38">
        <v>13</v>
      </c>
      <c r="F31" s="54">
        <f t="shared" si="4"/>
        <v>915.62187708333329</v>
      </c>
      <c r="G31" s="60">
        <f t="shared" si="0"/>
        <v>298.49273192916667</v>
      </c>
      <c r="I31" s="134" t="s">
        <v>73</v>
      </c>
      <c r="J31" s="132" t="s">
        <v>57</v>
      </c>
      <c r="K31" s="130" t="s">
        <v>74</v>
      </c>
      <c r="L31" s="115" t="s">
        <v>59</v>
      </c>
    </row>
    <row r="32" spans="1:14" ht="15" customHeight="1" x14ac:dyDescent="0.2">
      <c r="A32" s="38">
        <v>12</v>
      </c>
      <c r="B32" s="54">
        <f t="shared" si="3"/>
        <v>650.14593450000007</v>
      </c>
      <c r="C32" s="55">
        <f t="shared" si="1"/>
        <v>456.58928571428578</v>
      </c>
      <c r="D32" s="54">
        <f t="shared" si="2"/>
        <v>211.94757464700004</v>
      </c>
      <c r="E32" s="38">
        <v>12</v>
      </c>
      <c r="F32" s="54">
        <f t="shared" si="4"/>
        <v>845.18942499999991</v>
      </c>
      <c r="G32" s="60">
        <f t="shared" si="0"/>
        <v>275.53175254999996</v>
      </c>
      <c r="I32" s="249">
        <f>((L23/40*7.5*5)/7)*30*$C$46</f>
        <v>0</v>
      </c>
      <c r="J32" s="251">
        <f>IF(L26&lt;I32,I32,L26)</f>
        <v>0</v>
      </c>
      <c r="K32" s="253">
        <v>32.6</v>
      </c>
      <c r="L32" s="236">
        <f>J32*K32%</f>
        <v>0</v>
      </c>
    </row>
    <row r="33" spans="1:14" ht="15" customHeight="1" thickBot="1" x14ac:dyDescent="0.25">
      <c r="A33" s="38">
        <v>11</v>
      </c>
      <c r="B33" s="54">
        <f t="shared" si="3"/>
        <v>595.96710662500004</v>
      </c>
      <c r="C33" s="55">
        <f t="shared" si="1"/>
        <v>418.54017857142867</v>
      </c>
      <c r="D33" s="54">
        <f t="shared" si="2"/>
        <v>194.28527675975002</v>
      </c>
      <c r="E33" s="38">
        <v>11</v>
      </c>
      <c r="F33" s="54">
        <f t="shared" si="4"/>
        <v>774.75697291666654</v>
      </c>
      <c r="G33" s="60">
        <f t="shared" si="0"/>
        <v>252.57077317083329</v>
      </c>
      <c r="I33" s="250"/>
      <c r="J33" s="252"/>
      <c r="K33" s="254"/>
      <c r="L33" s="255"/>
    </row>
    <row r="34" spans="1:14" ht="15" customHeight="1" thickBot="1" x14ac:dyDescent="0.25">
      <c r="A34" s="38">
        <v>10</v>
      </c>
      <c r="B34" s="54">
        <f t="shared" si="3"/>
        <v>541.78827875000002</v>
      </c>
      <c r="C34" s="55">
        <f t="shared" si="1"/>
        <v>380.49107142857139</v>
      </c>
      <c r="D34" s="54">
        <f t="shared" si="2"/>
        <v>176.6229788725</v>
      </c>
      <c r="E34" s="38">
        <v>10</v>
      </c>
      <c r="F34" s="54">
        <f t="shared" si="4"/>
        <v>704.32452083333328</v>
      </c>
      <c r="G34" s="60">
        <f t="shared" si="0"/>
        <v>229.60979379166665</v>
      </c>
      <c r="I34" s="244" t="s">
        <v>69</v>
      </c>
      <c r="J34" s="245"/>
      <c r="K34" s="246"/>
      <c r="L34" s="126">
        <f>SUM(L32)</f>
        <v>0</v>
      </c>
    </row>
    <row r="35" spans="1:14" ht="15" customHeight="1" x14ac:dyDescent="0.2">
      <c r="A35" s="38">
        <v>9</v>
      </c>
      <c r="B35" s="54">
        <f t="shared" si="3"/>
        <v>487.60945087500005</v>
      </c>
      <c r="C35" s="55">
        <f t="shared" si="1"/>
        <v>342.44196428571428</v>
      </c>
      <c r="D35" s="54">
        <f t="shared" si="2"/>
        <v>158.96068098525004</v>
      </c>
      <c r="E35" s="38">
        <v>9</v>
      </c>
      <c r="F35" s="54">
        <f t="shared" si="4"/>
        <v>633.89206875000002</v>
      </c>
      <c r="G35" s="60">
        <f t="shared" si="0"/>
        <v>206.6488144125</v>
      </c>
      <c r="I35" s="35"/>
      <c r="J35" s="19"/>
      <c r="L35" s="111"/>
      <c r="N35" s="133"/>
    </row>
    <row r="36" spans="1:14" ht="15" customHeight="1" x14ac:dyDescent="0.2">
      <c r="A36" s="38">
        <v>8</v>
      </c>
      <c r="B36" s="54">
        <f t="shared" si="3"/>
        <v>433.43062300000003</v>
      </c>
      <c r="C36" s="55">
        <f t="shared" si="1"/>
        <v>304.39285714285711</v>
      </c>
      <c r="D36" s="54">
        <f t="shared" si="2"/>
        <v>141.29838309800002</v>
      </c>
      <c r="E36" s="38">
        <v>8</v>
      </c>
      <c r="F36" s="54">
        <f t="shared" si="4"/>
        <v>563.45961666666665</v>
      </c>
      <c r="G36" s="60">
        <f t="shared" si="0"/>
        <v>183.68783503333333</v>
      </c>
      <c r="I36" s="247" t="s">
        <v>71</v>
      </c>
      <c r="J36" s="247"/>
      <c r="K36" s="247"/>
      <c r="L36" s="247"/>
      <c r="M36" s="248" t="s">
        <v>70</v>
      </c>
      <c r="N36" s="133"/>
    </row>
    <row r="37" spans="1:14" ht="15" customHeight="1" x14ac:dyDescent="0.2">
      <c r="A37" s="38">
        <v>7</v>
      </c>
      <c r="B37" s="54">
        <f t="shared" si="3"/>
        <v>379.251795125</v>
      </c>
      <c r="C37" s="55">
        <f t="shared" si="1"/>
        <v>266.34375</v>
      </c>
      <c r="D37" s="54">
        <f t="shared" si="2"/>
        <v>123.63608521075001</v>
      </c>
      <c r="E37" s="38">
        <v>7</v>
      </c>
      <c r="F37" s="54">
        <f t="shared" si="4"/>
        <v>493.02716458333327</v>
      </c>
      <c r="G37" s="60">
        <f t="shared" si="0"/>
        <v>160.72685565416666</v>
      </c>
      <c r="I37" s="247"/>
      <c r="J37" s="247"/>
      <c r="K37" s="247"/>
      <c r="L37" s="247"/>
      <c r="M37" s="248"/>
      <c r="N37" s="133"/>
    </row>
    <row r="38" spans="1:14" ht="15" customHeight="1" x14ac:dyDescent="0.2">
      <c r="A38" s="38">
        <v>6</v>
      </c>
      <c r="B38" s="54">
        <f t="shared" si="3"/>
        <v>325.07296725000003</v>
      </c>
      <c r="C38" s="55">
        <f t="shared" si="1"/>
        <v>228.29464285714289</v>
      </c>
      <c r="D38" s="54">
        <f t="shared" si="2"/>
        <v>105.97378732350002</v>
      </c>
      <c r="E38" s="38">
        <v>6</v>
      </c>
      <c r="F38" s="54">
        <f t="shared" si="4"/>
        <v>422.59471249999996</v>
      </c>
      <c r="G38" s="60">
        <f t="shared" si="0"/>
        <v>137.76587627499998</v>
      </c>
      <c r="I38" s="8"/>
    </row>
    <row r="39" spans="1:14" ht="15" customHeight="1" x14ac:dyDescent="0.2">
      <c r="A39" s="38">
        <v>5</v>
      </c>
      <c r="B39" s="54">
        <f t="shared" si="3"/>
        <v>270.89413937500001</v>
      </c>
      <c r="C39" s="55">
        <f t="shared" si="1"/>
        <v>190.24553571428569</v>
      </c>
      <c r="D39" s="54">
        <f t="shared" si="2"/>
        <v>88.31148943625</v>
      </c>
      <c r="E39" s="38">
        <v>5</v>
      </c>
      <c r="F39" s="54">
        <f t="shared" si="4"/>
        <v>352.16226041666664</v>
      </c>
      <c r="G39" s="60">
        <f t="shared" si="0"/>
        <v>114.80489689583332</v>
      </c>
      <c r="I39" s="8"/>
    </row>
    <row r="40" spans="1:14" ht="15" customHeight="1" x14ac:dyDescent="0.2">
      <c r="A40" s="38">
        <v>4</v>
      </c>
      <c r="B40" s="54">
        <f t="shared" si="3"/>
        <v>216.71531150000001</v>
      </c>
      <c r="C40" s="55">
        <f t="shared" si="1"/>
        <v>152.19642857142856</v>
      </c>
      <c r="D40" s="54">
        <f t="shared" si="2"/>
        <v>70.649191549000008</v>
      </c>
      <c r="E40" s="38">
        <v>4</v>
      </c>
      <c r="F40" s="54">
        <f t="shared" si="4"/>
        <v>281.72980833333332</v>
      </c>
      <c r="G40" s="60">
        <f t="shared" si="0"/>
        <v>91.843917516666664</v>
      </c>
      <c r="I40" s="8"/>
    </row>
    <row r="41" spans="1:14" ht="15" customHeight="1" x14ac:dyDescent="0.2">
      <c r="A41" s="38">
        <v>3</v>
      </c>
      <c r="B41" s="54">
        <f t="shared" si="3"/>
        <v>162.53648362500002</v>
      </c>
      <c r="C41" s="55">
        <f t="shared" si="1"/>
        <v>114.14732142857144</v>
      </c>
      <c r="D41" s="54">
        <f t="shared" si="2"/>
        <v>52.98689366175001</v>
      </c>
      <c r="E41" s="38">
        <v>3</v>
      </c>
      <c r="F41" s="54">
        <f t="shared" si="4"/>
        <v>211.29735624999998</v>
      </c>
      <c r="G41" s="60">
        <f t="shared" si="0"/>
        <v>68.882938137499991</v>
      </c>
      <c r="I41" s="8"/>
    </row>
    <row r="42" spans="1:14" ht="15" customHeight="1" x14ac:dyDescent="0.2">
      <c r="A42" s="38">
        <v>2</v>
      </c>
      <c r="B42" s="54">
        <f t="shared" si="3"/>
        <v>108.35765575000001</v>
      </c>
      <c r="C42" s="55">
        <f t="shared" si="1"/>
        <v>76.098214285714278</v>
      </c>
      <c r="D42" s="54">
        <f t="shared" si="2"/>
        <v>35.324595774500004</v>
      </c>
      <c r="E42" s="38">
        <v>2</v>
      </c>
      <c r="F42" s="54">
        <f t="shared" si="4"/>
        <v>140.86490416666666</v>
      </c>
      <c r="G42" s="60">
        <f t="shared" si="0"/>
        <v>45.921958758333332</v>
      </c>
      <c r="I42" s="8"/>
    </row>
    <row r="43" spans="1:14" ht="15" customHeight="1" x14ac:dyDescent="0.2">
      <c r="A43" s="39">
        <v>1</v>
      </c>
      <c r="B43" s="56">
        <f t="shared" si="3"/>
        <v>54.178827875000003</v>
      </c>
      <c r="C43" s="57">
        <f t="shared" si="1"/>
        <v>38.049107142857139</v>
      </c>
      <c r="D43" s="137">
        <f t="shared" si="2"/>
        <v>17.662297887250002</v>
      </c>
      <c r="E43" s="39">
        <v>1</v>
      </c>
      <c r="F43" s="56">
        <f t="shared" si="4"/>
        <v>70.432452083333331</v>
      </c>
      <c r="G43" s="56">
        <f t="shared" si="0"/>
        <v>22.960979379166666</v>
      </c>
      <c r="I43" s="8"/>
    </row>
    <row r="44" spans="1:14" x14ac:dyDescent="0.2">
      <c r="D44" s="138"/>
    </row>
    <row r="45" spans="1:14" x14ac:dyDescent="0.2">
      <c r="C45" s="198" t="s">
        <v>99</v>
      </c>
    </row>
    <row r="46" spans="1:14" ht="42" hidden="1" customHeight="1" thickBot="1" x14ac:dyDescent="0.25">
      <c r="B46" s="199" t="s">
        <v>14</v>
      </c>
      <c r="C46" s="200">
        <v>9.4700000000000006</v>
      </c>
      <c r="E46" s="17"/>
    </row>
  </sheetData>
  <sheetProtection algorithmName="SHA-512" hashValue="4mCtOwEhqhV4fpLbNgpE5LyP1o9knJzXimnYmPhAAIvXJBCNNZavbihTbYAM3OvYtsBgB/P/nn+8gta8uD7iCQ==" saltValue="70laPusIK5Jnx+B1Fsc7Jg==" spinCount="100000" sheet="1" objects="1" scenarios="1"/>
  <protectedRanges>
    <protectedRange sqref="M36" name="CALCULO RC"/>
    <protectedRange sqref="L26" name="RET TP"/>
    <protectedRange sqref="L23" name="DED"/>
    <protectedRange sqref="L8" name="RET TC"/>
  </protectedRanges>
  <mergeCells count="35">
    <mergeCell ref="I34:K34"/>
    <mergeCell ref="I36:L37"/>
    <mergeCell ref="M36:M37"/>
    <mergeCell ref="I29:L30"/>
    <mergeCell ref="I32:I33"/>
    <mergeCell ref="J32:J33"/>
    <mergeCell ref="K32:K33"/>
    <mergeCell ref="L32:L33"/>
    <mergeCell ref="I20:N21"/>
    <mergeCell ref="I23:K24"/>
    <mergeCell ref="L23:L24"/>
    <mergeCell ref="I26:K27"/>
    <mergeCell ref="L26:L27"/>
    <mergeCell ref="I16:I17"/>
    <mergeCell ref="J16:J17"/>
    <mergeCell ref="K16:K17"/>
    <mergeCell ref="L16:L17"/>
    <mergeCell ref="I18:J18"/>
    <mergeCell ref="I8:K9"/>
    <mergeCell ref="L8:L9"/>
    <mergeCell ref="I11:L12"/>
    <mergeCell ref="I14:I15"/>
    <mergeCell ref="J14:J15"/>
    <mergeCell ref="K14:K15"/>
    <mergeCell ref="L14:L15"/>
    <mergeCell ref="I4:I5"/>
    <mergeCell ref="J4:J5"/>
    <mergeCell ref="K4:K5"/>
    <mergeCell ref="L4:L5"/>
    <mergeCell ref="M4:M5"/>
    <mergeCell ref="B2:D2"/>
    <mergeCell ref="F2:G2"/>
    <mergeCell ref="A1:G1"/>
    <mergeCell ref="I2:K2"/>
    <mergeCell ref="L2:M2"/>
  </mergeCells>
  <hyperlinks>
    <hyperlink ref="M36:M37" r:id="rId1" display="CALCULO RC"/>
  </hyperlinks>
  <pageMargins left="0.94488188976377963" right="0.86614173228346458" top="0" bottom="0.39370078740157483" header="0" footer="0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C22" sqref="C22"/>
    </sheetView>
  </sheetViews>
  <sheetFormatPr baseColWidth="10" defaultColWidth="11.5703125" defaultRowHeight="14.25" x14ac:dyDescent="0.2"/>
  <cols>
    <col min="1" max="1" width="40.7109375" style="166" customWidth="1"/>
    <col min="2" max="2" width="24.85546875" style="71" customWidth="1"/>
    <col min="3" max="4" width="24.7109375" style="71" customWidth="1"/>
    <col min="5" max="5" width="8" style="5" customWidth="1"/>
    <col min="6" max="6" width="30" style="7" customWidth="1"/>
    <col min="7" max="7" width="20.85546875" style="5" customWidth="1"/>
    <col min="8" max="8" width="24.140625" style="5" customWidth="1"/>
    <col min="9" max="9" width="20.5703125" style="5" customWidth="1"/>
    <col min="10" max="10" width="15.28515625" style="5" customWidth="1"/>
    <col min="11" max="16384" width="11.5703125" style="5"/>
  </cols>
  <sheetData>
    <row r="1" spans="1:10" s="8" customFormat="1" ht="55.5" customHeight="1" thickBot="1" x14ac:dyDescent="0.25">
      <c r="A1" s="271" t="s">
        <v>107</v>
      </c>
      <c r="B1" s="271"/>
      <c r="C1" s="271"/>
      <c r="D1" s="271"/>
      <c r="F1" s="156" t="s">
        <v>87</v>
      </c>
      <c r="G1" s="272" t="s">
        <v>52</v>
      </c>
      <c r="H1" s="273"/>
      <c r="I1" s="272" t="s">
        <v>56</v>
      </c>
      <c r="J1" s="273"/>
    </row>
    <row r="2" spans="1:10" s="36" customFormat="1" ht="34.5" customHeight="1" x14ac:dyDescent="0.2">
      <c r="A2" s="162" t="s">
        <v>86</v>
      </c>
      <c r="B2" s="269" t="s">
        <v>47</v>
      </c>
      <c r="C2" s="270"/>
      <c r="D2" s="270"/>
      <c r="E2" s="172"/>
      <c r="F2" s="120" t="s">
        <v>88</v>
      </c>
      <c r="G2" s="120" t="s">
        <v>62</v>
      </c>
      <c r="H2" s="120" t="s">
        <v>63</v>
      </c>
      <c r="I2" s="121" t="s">
        <v>54</v>
      </c>
      <c r="J2" s="120" t="s">
        <v>55</v>
      </c>
    </row>
    <row r="3" spans="1:10" s="27" customFormat="1" ht="25.5" x14ac:dyDescent="0.2">
      <c r="A3" s="135"/>
      <c r="B3" s="66" t="s">
        <v>79</v>
      </c>
      <c r="C3" s="136" t="s">
        <v>84</v>
      </c>
      <c r="D3" s="136" t="s">
        <v>90</v>
      </c>
      <c r="F3" s="139">
        <v>9.4700000000000006</v>
      </c>
      <c r="G3" s="202">
        <v>1572.3</v>
      </c>
      <c r="H3" s="202">
        <v>4139.3999999999996</v>
      </c>
      <c r="I3" s="203">
        <v>1125.9000000000001</v>
      </c>
      <c r="J3" s="203">
        <v>4139.3999999999996</v>
      </c>
    </row>
    <row r="4" spans="1:10" s="21" customFormat="1" ht="30.75" customHeight="1" thickBot="1" x14ac:dyDescent="0.25">
      <c r="A4" s="163" t="s">
        <v>85</v>
      </c>
      <c r="B4" s="146">
        <v>29271.9</v>
      </c>
      <c r="C4" s="175">
        <f>B4/12</f>
        <v>2439.3250000000003</v>
      </c>
      <c r="D4" s="176">
        <f>B4/14</f>
        <v>2090.85</v>
      </c>
      <c r="F4" s="151"/>
      <c r="G4" s="152"/>
      <c r="H4" s="152"/>
      <c r="I4" s="153"/>
      <c r="J4" s="153"/>
    </row>
    <row r="5" spans="1:10" s="8" customFormat="1" ht="24" customHeight="1" thickBot="1" x14ac:dyDescent="0.25">
      <c r="A5" s="164" t="s">
        <v>75</v>
      </c>
      <c r="B5" s="147">
        <f>B4*56%</f>
        <v>16392.264000000003</v>
      </c>
      <c r="C5" s="147">
        <f>B5/12</f>
        <v>1366.0220000000002</v>
      </c>
      <c r="D5" s="148">
        <f>B5/14</f>
        <v>1170.8760000000002</v>
      </c>
      <c r="F5" s="262" t="s">
        <v>94</v>
      </c>
      <c r="G5" s="262"/>
      <c r="H5" s="262"/>
      <c r="I5" s="204">
        <v>0</v>
      </c>
    </row>
    <row r="6" spans="1:10" s="8" customFormat="1" ht="24" customHeight="1" x14ac:dyDescent="0.2">
      <c r="A6" s="164" t="s">
        <v>76</v>
      </c>
      <c r="B6" s="147">
        <f>B4*56%</f>
        <v>16392.264000000003</v>
      </c>
      <c r="C6" s="177">
        <f>B6/12</f>
        <v>1366.0220000000002</v>
      </c>
      <c r="D6" s="173">
        <f t="shared" ref="D6:D10" si="0">B6/14</f>
        <v>1170.8760000000002</v>
      </c>
      <c r="F6" s="274" t="s">
        <v>92</v>
      </c>
      <c r="G6" s="275"/>
      <c r="H6" s="275"/>
      <c r="I6" s="276"/>
      <c r="J6" s="155"/>
    </row>
    <row r="7" spans="1:10" s="8" customFormat="1" ht="24" customHeight="1" thickBot="1" x14ac:dyDescent="0.25">
      <c r="A7" s="164" t="s">
        <v>77</v>
      </c>
      <c r="B7" s="147">
        <f>B4*60%</f>
        <v>17563.14</v>
      </c>
      <c r="C7" s="177">
        <f>B7/12</f>
        <v>1463.595</v>
      </c>
      <c r="D7" s="173">
        <f t="shared" si="0"/>
        <v>1254.51</v>
      </c>
      <c r="F7" s="277"/>
      <c r="G7" s="278"/>
      <c r="H7" s="278"/>
      <c r="I7" s="279"/>
      <c r="J7" s="155"/>
    </row>
    <row r="8" spans="1:10" s="8" customFormat="1" ht="24" customHeight="1" thickBot="1" x14ac:dyDescent="0.25">
      <c r="A8" s="164" t="s">
        <v>78</v>
      </c>
      <c r="B8" s="147">
        <f>B4*75%</f>
        <v>21953.925000000003</v>
      </c>
      <c r="C8" s="147">
        <f>B8/12</f>
        <v>1829.4937500000003</v>
      </c>
      <c r="D8" s="148">
        <f t="shared" si="0"/>
        <v>1568.1375000000003</v>
      </c>
      <c r="F8" s="113"/>
      <c r="G8" s="132" t="s">
        <v>57</v>
      </c>
      <c r="H8" s="157" t="s">
        <v>58</v>
      </c>
      <c r="I8" s="140" t="s">
        <v>59</v>
      </c>
    </row>
    <row r="9" spans="1:10" s="8" customFormat="1" ht="15" customHeight="1" x14ac:dyDescent="0.2">
      <c r="A9" s="164"/>
      <c r="B9" s="147"/>
      <c r="C9" s="147"/>
      <c r="D9" s="148"/>
      <c r="F9" s="280" t="s">
        <v>60</v>
      </c>
      <c r="G9" s="232">
        <f>IF($I$5&gt;=$G$3,$I$5,$G$3)</f>
        <v>1572.3</v>
      </c>
      <c r="H9" s="253">
        <v>16.52</v>
      </c>
      <c r="I9" s="232">
        <f>G9*H9%</f>
        <v>259.74395999999996</v>
      </c>
    </row>
    <row r="10" spans="1:10" s="8" customFormat="1" ht="15" customHeight="1" thickBot="1" x14ac:dyDescent="0.25">
      <c r="A10" s="165" t="s">
        <v>80</v>
      </c>
      <c r="B10" s="149">
        <f>(SUM(B5:B8))/4</f>
        <v>18075.398250000002</v>
      </c>
      <c r="C10" s="178">
        <f>(SUM(C5:C8))/4</f>
        <v>1506.2831875000002</v>
      </c>
      <c r="D10" s="174">
        <f t="shared" si="0"/>
        <v>1291.0998750000001</v>
      </c>
      <c r="F10" s="281"/>
      <c r="G10" s="233"/>
      <c r="H10" s="254"/>
      <c r="I10" s="233"/>
    </row>
    <row r="11" spans="1:10" ht="14.25" customHeight="1" x14ac:dyDescent="0.2">
      <c r="F11" s="280" t="s">
        <v>61</v>
      </c>
      <c r="G11" s="232">
        <f>IF($I$5&gt;=$I$3,$I$5,$I$3)</f>
        <v>1125.9000000000001</v>
      </c>
      <c r="H11" s="253">
        <v>9</v>
      </c>
      <c r="I11" s="232">
        <f>G11*H11%</f>
        <v>101.331</v>
      </c>
    </row>
    <row r="12" spans="1:10" ht="15" thickBot="1" x14ac:dyDescent="0.25">
      <c r="F12" s="281"/>
      <c r="G12" s="233"/>
      <c r="H12" s="254"/>
      <c r="I12" s="233"/>
    </row>
    <row r="13" spans="1:10" ht="24" customHeight="1" thickBot="1" x14ac:dyDescent="0.25">
      <c r="F13" s="218" t="s">
        <v>89</v>
      </c>
      <c r="G13" s="219"/>
      <c r="H13" s="159">
        <f>SUM(H9:H12)</f>
        <v>25.52</v>
      </c>
      <c r="I13" s="154">
        <f>SUM(I9:I12)</f>
        <v>361.07495999999998</v>
      </c>
    </row>
    <row r="16" spans="1:10" ht="15" customHeight="1" thickBot="1" x14ac:dyDescent="0.25"/>
    <row r="17" spans="1:10" ht="28.5" customHeight="1" thickBot="1" x14ac:dyDescent="0.25">
      <c r="A17" s="167"/>
      <c r="B17"/>
      <c r="C17"/>
      <c r="D17"/>
      <c r="F17" s="262" t="s">
        <v>94</v>
      </c>
      <c r="G17" s="262"/>
      <c r="H17" s="262"/>
      <c r="I17" s="204">
        <v>0</v>
      </c>
    </row>
    <row r="18" spans="1:10" ht="42" customHeight="1" thickBot="1" x14ac:dyDescent="0.25">
      <c r="A18" s="179"/>
      <c r="B18" s="261"/>
      <c r="C18" s="261"/>
      <c r="D18" s="168"/>
      <c r="F18" s="263" t="s">
        <v>93</v>
      </c>
      <c r="G18" s="264"/>
      <c r="H18" s="264"/>
      <c r="I18" s="264"/>
      <c r="J18" s="184"/>
    </row>
    <row r="19" spans="1:10" ht="15" thickBot="1" x14ac:dyDescent="0.25">
      <c r="A19" s="170"/>
      <c r="B19" s="170"/>
      <c r="C19" s="170"/>
      <c r="D19" s="170"/>
      <c r="F19" s="158"/>
      <c r="G19" s="132" t="s">
        <v>57</v>
      </c>
      <c r="H19" s="157" t="s">
        <v>58</v>
      </c>
      <c r="I19" s="140" t="s">
        <v>59</v>
      </c>
      <c r="J19" s="179"/>
    </row>
    <row r="20" spans="1:10" ht="21" customHeight="1" x14ac:dyDescent="0.2">
      <c r="A20" s="180"/>
      <c r="B20" s="169"/>
      <c r="C20" s="169"/>
      <c r="D20" s="169"/>
      <c r="F20" s="238" t="s">
        <v>60</v>
      </c>
      <c r="G20" s="232">
        <f>IF($I$17&gt;=$G$3,$I$17,$G$3)</f>
        <v>1572.3</v>
      </c>
      <c r="H20" s="251">
        <v>23.6</v>
      </c>
      <c r="I20" s="267">
        <f>G20*H20%</f>
        <v>371.06280000000004</v>
      </c>
      <c r="J20" s="184"/>
    </row>
    <row r="21" spans="1:10" ht="24.75" customHeight="1" thickBot="1" x14ac:dyDescent="0.25">
      <c r="A21" s="180"/>
      <c r="B21" s="169"/>
      <c r="C21" s="169"/>
      <c r="D21" s="169"/>
      <c r="F21" s="239"/>
      <c r="G21" s="233"/>
      <c r="H21" s="252"/>
      <c r="I21" s="268"/>
      <c r="J21" s="184"/>
    </row>
    <row r="22" spans="1:10" ht="20.25" customHeight="1" x14ac:dyDescent="0.2">
      <c r="A22" s="181"/>
      <c r="B22" s="182"/>
      <c r="C22" s="182"/>
      <c r="D22" s="182"/>
      <c r="F22" s="238" t="s">
        <v>61</v>
      </c>
      <c r="G22" s="232">
        <f>IF($I$17&gt;=$I$3,$I$17,$I$3)</f>
        <v>1125.9000000000001</v>
      </c>
      <c r="H22" s="251">
        <v>7.8</v>
      </c>
      <c r="I22" s="232">
        <f>G22*H22%</f>
        <v>87.820200000000014</v>
      </c>
      <c r="J22" s="179"/>
    </row>
    <row r="23" spans="1:10" ht="14.25" customHeight="1" thickBot="1" x14ac:dyDescent="0.25">
      <c r="A23" s="161"/>
      <c r="B23" s="161"/>
      <c r="C23" s="171"/>
      <c r="D23" s="171"/>
      <c r="F23" s="239"/>
      <c r="G23" s="233"/>
      <c r="H23" s="252"/>
      <c r="I23" s="233"/>
      <c r="J23" s="179"/>
    </row>
    <row r="24" spans="1:10" ht="25.5" customHeight="1" thickBot="1" x14ac:dyDescent="0.25">
      <c r="A24" s="161"/>
      <c r="B24" s="161"/>
      <c r="C24" s="171"/>
      <c r="D24" s="171"/>
      <c r="F24" s="218" t="s">
        <v>91</v>
      </c>
      <c r="G24" s="219"/>
      <c r="H24" s="159">
        <f>(H20+H22)</f>
        <v>31.400000000000002</v>
      </c>
      <c r="I24" s="185">
        <f>(I20+I22)</f>
        <v>458.88300000000004</v>
      </c>
      <c r="J24" s="184"/>
    </row>
    <row r="25" spans="1:10" ht="26.25" customHeight="1" x14ac:dyDescent="0.2">
      <c r="A25" s="181"/>
      <c r="B25" s="182"/>
      <c r="C25" s="182"/>
      <c r="D25" s="182"/>
    </row>
    <row r="26" spans="1:10" ht="20.25" customHeight="1" x14ac:dyDescent="0.2">
      <c r="A26" s="161"/>
      <c r="B26" s="161"/>
      <c r="C26" s="183"/>
      <c r="D26" s="183"/>
      <c r="F26" s="266" t="s">
        <v>71</v>
      </c>
      <c r="G26" s="266"/>
      <c r="H26" s="266"/>
      <c r="I26" s="265" t="s">
        <v>70</v>
      </c>
    </row>
    <row r="27" spans="1:10" x14ac:dyDescent="0.2">
      <c r="A27" s="161"/>
      <c r="B27" s="161"/>
      <c r="C27" s="183"/>
      <c r="D27" s="183"/>
      <c r="F27" s="266"/>
      <c r="G27" s="266"/>
      <c r="H27" s="266"/>
      <c r="I27" s="265"/>
    </row>
    <row r="29" spans="1:10" x14ac:dyDescent="0.2">
      <c r="H29" s="160"/>
    </row>
  </sheetData>
  <sheetProtection algorithmName="SHA-512" hashValue="lnMoCOI9veDui7zCNtGG9/0aWn3gSfOiu2GNMefa92egLcBFKm++7YM4P53Uxozs2Ywr93r8YiFmN4UOf2ENoA==" saltValue="rkd10GbxLKn/Tu9hym5MnQ==" spinCount="100000" sheet="1" objects="1" scenarios="1"/>
  <protectedRanges>
    <protectedRange sqref="I26" name="CALCULO RC"/>
    <protectedRange sqref="C26:D26" name="RET PRACTICAS"/>
    <protectedRange sqref="C23:D23" name="DED"/>
    <protectedRange sqref="I5 I17" name="RET PREDOC"/>
  </protectedRanges>
  <mergeCells count="29">
    <mergeCell ref="B2:D2"/>
    <mergeCell ref="A1:D1"/>
    <mergeCell ref="F13:G13"/>
    <mergeCell ref="G11:G12"/>
    <mergeCell ref="I1:J1"/>
    <mergeCell ref="G1:H1"/>
    <mergeCell ref="G9:G10"/>
    <mergeCell ref="F5:H5"/>
    <mergeCell ref="F6:I7"/>
    <mergeCell ref="I11:I12"/>
    <mergeCell ref="F9:F10"/>
    <mergeCell ref="F11:F12"/>
    <mergeCell ref="H9:H10"/>
    <mergeCell ref="I9:I10"/>
    <mergeCell ref="H11:H12"/>
    <mergeCell ref="I26:I27"/>
    <mergeCell ref="F26:H27"/>
    <mergeCell ref="I20:I21"/>
    <mergeCell ref="I22:I23"/>
    <mergeCell ref="F24:G24"/>
    <mergeCell ref="H22:H23"/>
    <mergeCell ref="G22:G23"/>
    <mergeCell ref="F22:F23"/>
    <mergeCell ref="B18:C18"/>
    <mergeCell ref="F17:H17"/>
    <mergeCell ref="F18:I18"/>
    <mergeCell ref="H20:H21"/>
    <mergeCell ref="G20:G21"/>
    <mergeCell ref="F20:F21"/>
  </mergeCells>
  <hyperlinks>
    <hyperlink ref="I26:I27" r:id="rId1" display="CALCULO RC"/>
  </hyperlinks>
  <pageMargins left="0.94488188976377963" right="0.94488188976377963" top="0" bottom="0.39370078740157483" header="0" footer="0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selection activeCell="F26" sqref="F26"/>
    </sheetView>
  </sheetViews>
  <sheetFormatPr baseColWidth="10" defaultColWidth="11.5703125" defaultRowHeight="14.25" x14ac:dyDescent="0.2"/>
  <cols>
    <col min="1" max="1" width="18.42578125" style="4" customWidth="1"/>
    <col min="2" max="2" width="24.85546875" style="69" customWidth="1"/>
    <col min="3" max="3" width="16.7109375" style="70" hidden="1" customWidth="1"/>
    <col min="4" max="4" width="18.42578125" style="69" customWidth="1"/>
    <col min="5" max="5" width="18.42578125" style="5" customWidth="1"/>
    <col min="6" max="6" width="24.85546875" style="69" customWidth="1"/>
    <col min="7" max="7" width="18.42578125" style="69" customWidth="1"/>
    <col min="8" max="8" width="11.5703125" style="5"/>
    <col min="9" max="9" width="17.7109375" style="7" customWidth="1"/>
    <col min="10" max="10" width="20.42578125" style="5" customWidth="1"/>
    <col min="11" max="11" width="19.42578125" style="5" customWidth="1"/>
    <col min="12" max="12" width="17.42578125" style="5" customWidth="1"/>
    <col min="13" max="13" width="15.42578125" style="5" customWidth="1"/>
    <col min="14" max="16384" width="11.5703125" style="5"/>
  </cols>
  <sheetData>
    <row r="1" spans="1:14" s="8" customFormat="1" ht="65.25" customHeight="1" x14ac:dyDescent="0.2">
      <c r="A1" s="210" t="s">
        <v>104</v>
      </c>
      <c r="B1" s="211"/>
      <c r="C1" s="211"/>
      <c r="D1" s="211"/>
      <c r="E1" s="211"/>
      <c r="F1" s="211"/>
      <c r="G1" s="211"/>
      <c r="K1" s="19"/>
    </row>
    <row r="2" spans="1:14" s="36" customFormat="1" ht="24.75" customHeight="1" x14ac:dyDescent="0.2">
      <c r="A2" s="44"/>
      <c r="B2" s="284" t="s">
        <v>47</v>
      </c>
      <c r="C2" s="284"/>
      <c r="D2" s="285"/>
      <c r="E2" s="42"/>
      <c r="F2" s="284" t="s">
        <v>48</v>
      </c>
      <c r="G2" s="285"/>
      <c r="I2" s="212" t="s">
        <v>52</v>
      </c>
      <c r="J2" s="212"/>
      <c r="K2" s="212"/>
      <c r="L2" s="212" t="s">
        <v>56</v>
      </c>
      <c r="M2" s="212"/>
    </row>
    <row r="3" spans="1:14" s="27" customFormat="1" ht="38.25" x14ac:dyDescent="0.2">
      <c r="A3" s="43" t="s">
        <v>45</v>
      </c>
      <c r="B3" s="66" t="s">
        <v>46</v>
      </c>
      <c r="C3" s="67" t="s">
        <v>15</v>
      </c>
      <c r="D3" s="68" t="s">
        <v>49</v>
      </c>
      <c r="E3" s="40" t="s">
        <v>45</v>
      </c>
      <c r="F3" s="66" t="s">
        <v>46</v>
      </c>
      <c r="G3" s="68" t="s">
        <v>50</v>
      </c>
      <c r="I3" s="120" t="s">
        <v>51</v>
      </c>
      <c r="J3" s="120" t="s">
        <v>62</v>
      </c>
      <c r="K3" s="120" t="s">
        <v>63</v>
      </c>
      <c r="L3" s="121" t="s">
        <v>54</v>
      </c>
      <c r="M3" s="120" t="s">
        <v>55</v>
      </c>
    </row>
    <row r="4" spans="1:14" ht="15" customHeight="1" x14ac:dyDescent="0.2">
      <c r="A4" s="37">
        <v>40</v>
      </c>
      <c r="B4" s="72">
        <f>PARAMETROS!B5</f>
        <v>1601.808595</v>
      </c>
      <c r="C4" s="73"/>
      <c r="D4" s="72"/>
      <c r="E4" s="37">
        <v>40</v>
      </c>
      <c r="F4" s="72">
        <f>PARAMETROS!C5</f>
        <v>2082.3509099999997</v>
      </c>
      <c r="G4" s="72">
        <f>IF(F4&gt;$K$4,$K$4*$K$18%,F4*$K$18%)</f>
        <v>678.84639665999987</v>
      </c>
      <c r="I4" s="213">
        <v>1</v>
      </c>
      <c r="J4" s="282">
        <v>1572.3</v>
      </c>
      <c r="K4" s="282">
        <v>4139.3999999999996</v>
      </c>
      <c r="L4" s="283">
        <v>1125.9000000000001</v>
      </c>
      <c r="M4" s="283">
        <v>4139.3999999999996</v>
      </c>
      <c r="N4" s="8"/>
    </row>
    <row r="5" spans="1:14" ht="15" customHeight="1" x14ac:dyDescent="0.2">
      <c r="A5" s="38">
        <v>39</v>
      </c>
      <c r="B5" s="74">
        <f>PRODUCT(B$4,A5)/A$4</f>
        <v>1561.7633801249999</v>
      </c>
      <c r="C5" s="75">
        <f>(A5/$A$4*7.5*5)/7*30*$C$46</f>
        <v>1483.9151785714284</v>
      </c>
      <c r="D5" s="74">
        <f>IF(B5&lt;C5,C5*$K$18%,B5*$K$18%)</f>
        <v>509.13486192074998</v>
      </c>
      <c r="E5" s="38">
        <v>39</v>
      </c>
      <c r="F5" s="74">
        <f>PRODUCT(F$4,E5)/E$4</f>
        <v>2030.2921372499998</v>
      </c>
      <c r="G5" s="74">
        <f t="shared" ref="G5:G43" si="0">IF(F5&gt;$K$4,$K$4*$K$18%,F5*$K$18%)</f>
        <v>661.87523674349995</v>
      </c>
      <c r="I5" s="213"/>
      <c r="J5" s="282"/>
      <c r="K5" s="282"/>
      <c r="L5" s="283"/>
      <c r="M5" s="283"/>
      <c r="N5" s="8"/>
    </row>
    <row r="6" spans="1:14" ht="15" customHeight="1" x14ac:dyDescent="0.2">
      <c r="A6" s="38">
        <v>38</v>
      </c>
      <c r="B6" s="74">
        <f t="shared" ref="B6:B43" si="1">PRODUCT(B$4,A6)/A$4</f>
        <v>1521.7181652499999</v>
      </c>
      <c r="C6" s="75">
        <f t="shared" ref="C6:C43" si="2">(A6/$A$4*7.5*5)/7*30*$C$46</f>
        <v>1445.8660714285718</v>
      </c>
      <c r="D6" s="74">
        <f t="shared" ref="D6:D43" si="3">IF(B6&lt;C6,C6*$K$18%,B6*$K$18%)</f>
        <v>496.08012187149995</v>
      </c>
      <c r="E6" s="38">
        <v>38</v>
      </c>
      <c r="F6" s="74">
        <f t="shared" ref="F6:F43" si="4">PRODUCT(F$4,E6)/E$4</f>
        <v>1978.2333644999994</v>
      </c>
      <c r="G6" s="74">
        <f t="shared" si="0"/>
        <v>644.90407682699981</v>
      </c>
      <c r="I6" s="35"/>
      <c r="J6" s="8"/>
      <c r="K6" s="8"/>
      <c r="L6" s="111"/>
      <c r="M6" s="8"/>
      <c r="N6" s="8"/>
    </row>
    <row r="7" spans="1:14" ht="15" customHeight="1" thickBot="1" x14ac:dyDescent="0.25">
      <c r="A7" s="38">
        <v>37</v>
      </c>
      <c r="B7" s="74">
        <f t="shared" si="1"/>
        <v>1481.6729503749998</v>
      </c>
      <c r="C7" s="75">
        <f t="shared" si="2"/>
        <v>1407.8169642857147</v>
      </c>
      <c r="D7" s="74">
        <f t="shared" si="3"/>
        <v>483.02538182224993</v>
      </c>
      <c r="E7" s="38">
        <v>37</v>
      </c>
      <c r="F7" s="74">
        <f t="shared" si="4"/>
        <v>1926.1745917499998</v>
      </c>
      <c r="G7" s="74">
        <f t="shared" si="0"/>
        <v>627.9329169104999</v>
      </c>
      <c r="I7" s="35"/>
      <c r="J7" s="19"/>
      <c r="K7" s="8"/>
      <c r="L7" s="111"/>
      <c r="M7" s="8"/>
      <c r="N7" s="8"/>
    </row>
    <row r="8" spans="1:14" ht="15" customHeight="1" x14ac:dyDescent="0.2">
      <c r="A8" s="38">
        <v>36</v>
      </c>
      <c r="B8" s="74">
        <f t="shared" si="1"/>
        <v>1441.6277355</v>
      </c>
      <c r="C8" s="75">
        <f t="shared" si="2"/>
        <v>1369.7678571428571</v>
      </c>
      <c r="D8" s="74">
        <f t="shared" si="3"/>
        <v>469.97064177300001</v>
      </c>
      <c r="E8" s="38">
        <v>36</v>
      </c>
      <c r="F8" s="74">
        <f t="shared" si="4"/>
        <v>1874.1158189999999</v>
      </c>
      <c r="G8" s="74">
        <f t="shared" si="0"/>
        <v>610.96175699399998</v>
      </c>
      <c r="I8" s="222" t="s">
        <v>66</v>
      </c>
      <c r="J8" s="222"/>
      <c r="K8" s="223"/>
      <c r="L8" s="220">
        <v>0</v>
      </c>
      <c r="M8" s="8"/>
      <c r="N8" s="8"/>
    </row>
    <row r="9" spans="1:14" ht="15" customHeight="1" thickBot="1" x14ac:dyDescent="0.25">
      <c r="A9" s="38">
        <v>35</v>
      </c>
      <c r="B9" s="74">
        <f t="shared" si="1"/>
        <v>1401.5825206249999</v>
      </c>
      <c r="C9" s="75">
        <f t="shared" si="2"/>
        <v>1331.71875</v>
      </c>
      <c r="D9" s="74">
        <f t="shared" si="3"/>
        <v>456.91590172374998</v>
      </c>
      <c r="E9" s="38">
        <v>35</v>
      </c>
      <c r="F9" s="74">
        <f t="shared" si="4"/>
        <v>1822.0570462499995</v>
      </c>
      <c r="G9" s="74">
        <f t="shared" si="0"/>
        <v>593.99059707749984</v>
      </c>
      <c r="I9" s="222"/>
      <c r="J9" s="222"/>
      <c r="K9" s="223"/>
      <c r="L9" s="221"/>
      <c r="M9" s="8"/>
      <c r="N9" s="8"/>
    </row>
    <row r="10" spans="1:14" ht="15" customHeight="1" thickBot="1" x14ac:dyDescent="0.25">
      <c r="A10" s="38">
        <v>34</v>
      </c>
      <c r="B10" s="74">
        <f t="shared" si="1"/>
        <v>1361.5373057499999</v>
      </c>
      <c r="C10" s="75">
        <f t="shared" si="2"/>
        <v>1293.6696428571429</v>
      </c>
      <c r="D10" s="74">
        <f t="shared" si="3"/>
        <v>443.86116167449995</v>
      </c>
      <c r="E10" s="38">
        <v>34</v>
      </c>
      <c r="F10" s="74">
        <f t="shared" si="4"/>
        <v>1769.9982734999999</v>
      </c>
      <c r="G10" s="74">
        <f t="shared" si="0"/>
        <v>577.01943716099993</v>
      </c>
      <c r="I10" s="116"/>
      <c r="J10" s="117"/>
      <c r="K10" s="118"/>
      <c r="L10" s="119"/>
      <c r="M10" s="8"/>
      <c r="N10" s="8"/>
    </row>
    <row r="11" spans="1:14" ht="15" customHeight="1" x14ac:dyDescent="0.2">
      <c r="A11" s="38">
        <v>33</v>
      </c>
      <c r="B11" s="74">
        <f t="shared" si="1"/>
        <v>1321.492090875</v>
      </c>
      <c r="C11" s="75">
        <f t="shared" si="2"/>
        <v>1255.6205357142856</v>
      </c>
      <c r="D11" s="74">
        <f t="shared" si="3"/>
        <v>430.80642162525004</v>
      </c>
      <c r="E11" s="38">
        <v>33</v>
      </c>
      <c r="F11" s="74">
        <f t="shared" si="4"/>
        <v>1717.9395007499995</v>
      </c>
      <c r="G11" s="74">
        <f t="shared" si="0"/>
        <v>560.0482772444999</v>
      </c>
      <c r="I11" s="224" t="s">
        <v>64</v>
      </c>
      <c r="J11" s="225"/>
      <c r="K11" s="225"/>
      <c r="L11" s="226"/>
      <c r="M11" s="8"/>
      <c r="N11" s="8"/>
    </row>
    <row r="12" spans="1:14" ht="15" customHeight="1" thickBot="1" x14ac:dyDescent="0.25">
      <c r="A12" s="38">
        <v>32</v>
      </c>
      <c r="B12" s="74">
        <f t="shared" si="1"/>
        <v>1281.446876</v>
      </c>
      <c r="C12" s="75">
        <f t="shared" si="2"/>
        <v>1217.5714285714284</v>
      </c>
      <c r="D12" s="74">
        <f t="shared" si="3"/>
        <v>417.75168157600001</v>
      </c>
      <c r="E12" s="38">
        <v>32</v>
      </c>
      <c r="F12" s="74">
        <f t="shared" si="4"/>
        <v>1665.8807279999996</v>
      </c>
      <c r="G12" s="74">
        <f t="shared" si="0"/>
        <v>543.07711732799987</v>
      </c>
      <c r="I12" s="227"/>
      <c r="J12" s="228"/>
      <c r="K12" s="228"/>
      <c r="L12" s="229"/>
      <c r="M12" s="8"/>
      <c r="N12" s="8"/>
    </row>
    <row r="13" spans="1:14" ht="15" customHeight="1" thickBot="1" x14ac:dyDescent="0.25">
      <c r="A13" s="38">
        <v>31</v>
      </c>
      <c r="B13" s="74">
        <f t="shared" si="1"/>
        <v>1241.4016611249999</v>
      </c>
      <c r="C13" s="75">
        <f t="shared" si="2"/>
        <v>1179.5223214285716</v>
      </c>
      <c r="D13" s="74">
        <f t="shared" si="3"/>
        <v>404.69694152674998</v>
      </c>
      <c r="E13" s="38">
        <v>31</v>
      </c>
      <c r="F13" s="74">
        <f t="shared" si="4"/>
        <v>1613.8219552499997</v>
      </c>
      <c r="G13" s="74">
        <f t="shared" si="0"/>
        <v>526.10595741149996</v>
      </c>
      <c r="I13" s="113"/>
      <c r="J13" s="132" t="s">
        <v>57</v>
      </c>
      <c r="K13" s="130" t="s">
        <v>58</v>
      </c>
      <c r="L13" s="140" t="s">
        <v>59</v>
      </c>
      <c r="M13" s="8"/>
      <c r="N13" s="8"/>
    </row>
    <row r="14" spans="1:14" ht="15" customHeight="1" x14ac:dyDescent="0.2">
      <c r="A14" s="38">
        <v>30</v>
      </c>
      <c r="B14" s="74">
        <f t="shared" si="1"/>
        <v>1201.3564462500001</v>
      </c>
      <c r="C14" s="75">
        <f t="shared" si="2"/>
        <v>1141.4732142857144</v>
      </c>
      <c r="D14" s="74">
        <f t="shared" si="3"/>
        <v>391.64220147750007</v>
      </c>
      <c r="E14" s="38">
        <v>30</v>
      </c>
      <c r="F14" s="74">
        <f t="shared" si="4"/>
        <v>1561.7631824999996</v>
      </c>
      <c r="G14" s="74">
        <f t="shared" si="0"/>
        <v>509.13479749499987</v>
      </c>
      <c r="I14" s="230" t="s">
        <v>60</v>
      </c>
      <c r="J14" s="232">
        <f>IF(L8&gt;=J4,L8,J4)</f>
        <v>1572.3</v>
      </c>
      <c r="K14" s="234">
        <v>23.6</v>
      </c>
      <c r="L14" s="240">
        <f>J14*K14%</f>
        <v>371.06280000000004</v>
      </c>
      <c r="M14" s="8"/>
      <c r="N14" s="8"/>
    </row>
    <row r="15" spans="1:14" ht="15" customHeight="1" thickBot="1" x14ac:dyDescent="0.25">
      <c r="A15" s="38">
        <v>29</v>
      </c>
      <c r="B15" s="74">
        <f t="shared" si="1"/>
        <v>1161.311231375</v>
      </c>
      <c r="C15" s="75">
        <f t="shared" si="2"/>
        <v>1103.4241071428573</v>
      </c>
      <c r="D15" s="74">
        <f t="shared" si="3"/>
        <v>378.58746142825004</v>
      </c>
      <c r="E15" s="38">
        <v>29</v>
      </c>
      <c r="F15" s="74">
        <f t="shared" si="4"/>
        <v>1509.7044097499997</v>
      </c>
      <c r="G15" s="74">
        <f t="shared" si="0"/>
        <v>492.16363757849996</v>
      </c>
      <c r="I15" s="231"/>
      <c r="J15" s="233"/>
      <c r="K15" s="235"/>
      <c r="L15" s="241"/>
      <c r="M15" s="8"/>
      <c r="N15" s="8"/>
    </row>
    <row r="16" spans="1:14" ht="15" customHeight="1" x14ac:dyDescent="0.2">
      <c r="A16" s="38">
        <v>28</v>
      </c>
      <c r="B16" s="74">
        <f t="shared" si="1"/>
        <v>1121.2660165</v>
      </c>
      <c r="C16" s="75">
        <f t="shared" si="2"/>
        <v>1065.375</v>
      </c>
      <c r="D16" s="74">
        <f t="shared" si="3"/>
        <v>365.53272137900001</v>
      </c>
      <c r="E16" s="38">
        <v>28</v>
      </c>
      <c r="F16" s="74">
        <f t="shared" si="4"/>
        <v>1457.6456369999999</v>
      </c>
      <c r="G16" s="74">
        <f t="shared" si="0"/>
        <v>475.19247766199999</v>
      </c>
      <c r="I16" s="238" t="s">
        <v>61</v>
      </c>
      <c r="J16" s="232">
        <f>IF(L8&gt;=L4,L8,L4)</f>
        <v>1125.9000000000001</v>
      </c>
      <c r="K16" s="234">
        <v>9</v>
      </c>
      <c r="L16" s="236">
        <f>J16*K16%</f>
        <v>101.331</v>
      </c>
      <c r="M16" s="8"/>
      <c r="N16" s="8"/>
    </row>
    <row r="17" spans="1:14" ht="15" customHeight="1" thickBot="1" x14ac:dyDescent="0.25">
      <c r="A17" s="38">
        <v>27</v>
      </c>
      <c r="B17" s="74">
        <f t="shared" si="1"/>
        <v>1081.2208016250001</v>
      </c>
      <c r="C17" s="75">
        <f t="shared" si="2"/>
        <v>1027.3258928571429</v>
      </c>
      <c r="D17" s="74">
        <f t="shared" si="3"/>
        <v>352.47798132975004</v>
      </c>
      <c r="E17" s="38">
        <v>27</v>
      </c>
      <c r="F17" s="74">
        <f t="shared" si="4"/>
        <v>1405.5868642499997</v>
      </c>
      <c r="G17" s="74">
        <f t="shared" si="0"/>
        <v>458.2213177454999</v>
      </c>
      <c r="I17" s="239"/>
      <c r="J17" s="233"/>
      <c r="K17" s="235">
        <v>0.2</v>
      </c>
      <c r="L17" s="237"/>
      <c r="M17" s="8"/>
      <c r="N17" s="8"/>
    </row>
    <row r="18" spans="1:14" ht="16.5" customHeight="1" thickBot="1" x14ac:dyDescent="0.25">
      <c r="A18" s="38">
        <v>26</v>
      </c>
      <c r="B18" s="74">
        <f t="shared" si="1"/>
        <v>1041.1755867500001</v>
      </c>
      <c r="C18" s="75">
        <f t="shared" si="2"/>
        <v>989.27678571428589</v>
      </c>
      <c r="D18" s="74">
        <f t="shared" si="3"/>
        <v>339.42324128050006</v>
      </c>
      <c r="E18" s="38">
        <v>26</v>
      </c>
      <c r="F18" s="74">
        <f t="shared" si="4"/>
        <v>1353.5280914999998</v>
      </c>
      <c r="G18" s="74">
        <f t="shared" si="0"/>
        <v>441.25015782899999</v>
      </c>
      <c r="I18" s="218" t="s">
        <v>65</v>
      </c>
      <c r="J18" s="219"/>
      <c r="K18" s="131">
        <f>(K14+K16)</f>
        <v>32.6</v>
      </c>
      <c r="L18" s="126">
        <f>SUM(L14:L17)</f>
        <v>472.39380000000006</v>
      </c>
      <c r="M18" s="8"/>
      <c r="N18" s="8"/>
    </row>
    <row r="19" spans="1:14" ht="15" customHeight="1" x14ac:dyDescent="0.2">
      <c r="A19" s="38">
        <v>25</v>
      </c>
      <c r="B19" s="74">
        <f t="shared" si="1"/>
        <v>1001.1303718749999</v>
      </c>
      <c r="C19" s="75">
        <f t="shared" si="2"/>
        <v>951.22767857142867</v>
      </c>
      <c r="D19" s="74">
        <f t="shared" si="3"/>
        <v>326.36850123124998</v>
      </c>
      <c r="E19" s="38">
        <v>25</v>
      </c>
      <c r="F19" s="74">
        <f t="shared" si="4"/>
        <v>1301.4693187499997</v>
      </c>
      <c r="G19" s="74">
        <f t="shared" si="0"/>
        <v>424.2789979124999</v>
      </c>
      <c r="I19" s="122"/>
      <c r="J19" s="123"/>
      <c r="K19" s="124"/>
      <c r="L19" s="125"/>
      <c r="M19" s="8"/>
      <c r="N19" s="8"/>
    </row>
    <row r="20" spans="1:14" ht="15" customHeight="1" x14ac:dyDescent="0.2">
      <c r="A20" s="38">
        <v>24</v>
      </c>
      <c r="B20" s="74">
        <f t="shared" si="1"/>
        <v>961.08515699999987</v>
      </c>
      <c r="C20" s="75">
        <f t="shared" si="2"/>
        <v>913.17857142857156</v>
      </c>
      <c r="D20" s="74">
        <f t="shared" si="3"/>
        <v>313.31376118199995</v>
      </c>
      <c r="E20" s="38">
        <v>24</v>
      </c>
      <c r="F20" s="74">
        <f t="shared" si="4"/>
        <v>1249.4105459999998</v>
      </c>
      <c r="G20" s="74">
        <f t="shared" si="0"/>
        <v>407.30783799599999</v>
      </c>
      <c r="I20" s="260" t="s">
        <v>82</v>
      </c>
      <c r="J20" s="260"/>
      <c r="K20" s="260"/>
      <c r="L20" s="260"/>
      <c r="M20" s="260"/>
      <c r="N20" s="260"/>
    </row>
    <row r="21" spans="1:14" ht="15" customHeight="1" x14ac:dyDescent="0.2">
      <c r="A21" s="38">
        <v>23</v>
      </c>
      <c r="B21" s="74">
        <f t="shared" si="1"/>
        <v>921.03994212500004</v>
      </c>
      <c r="C21" s="75">
        <f t="shared" si="2"/>
        <v>875.12946428571422</v>
      </c>
      <c r="D21" s="74">
        <f t="shared" si="3"/>
        <v>300.25902113275004</v>
      </c>
      <c r="E21" s="38">
        <v>23</v>
      </c>
      <c r="F21" s="74">
        <f t="shared" si="4"/>
        <v>1197.35177325</v>
      </c>
      <c r="G21" s="74">
        <f t="shared" si="0"/>
        <v>390.33667807950002</v>
      </c>
      <c r="I21" s="260"/>
      <c r="J21" s="260"/>
      <c r="K21" s="260"/>
      <c r="L21" s="260"/>
      <c r="M21" s="260"/>
      <c r="N21" s="260"/>
    </row>
    <row r="22" spans="1:14" ht="15" customHeight="1" thickBot="1" x14ac:dyDescent="0.25">
      <c r="A22" s="38">
        <v>22</v>
      </c>
      <c r="B22" s="74">
        <f t="shared" si="1"/>
        <v>880.99472724999998</v>
      </c>
      <c r="C22" s="75">
        <f t="shared" si="2"/>
        <v>837.08035714285734</v>
      </c>
      <c r="D22" s="74">
        <f t="shared" si="3"/>
        <v>287.20428108350001</v>
      </c>
      <c r="E22" s="38">
        <v>22</v>
      </c>
      <c r="F22" s="74">
        <f t="shared" si="4"/>
        <v>1145.2930004999998</v>
      </c>
      <c r="G22" s="74">
        <f t="shared" si="0"/>
        <v>373.36551816299993</v>
      </c>
      <c r="I22" s="35"/>
      <c r="J22" s="19"/>
      <c r="K22" s="8"/>
      <c r="L22" s="111"/>
      <c r="M22" s="8"/>
      <c r="N22" s="8"/>
    </row>
    <row r="23" spans="1:14" ht="15" customHeight="1" x14ac:dyDescent="0.2">
      <c r="A23" s="38">
        <v>21</v>
      </c>
      <c r="B23" s="74">
        <f t="shared" si="1"/>
        <v>840.94951237499993</v>
      </c>
      <c r="C23" s="75">
        <f t="shared" si="2"/>
        <v>799.03125</v>
      </c>
      <c r="D23" s="74">
        <f t="shared" si="3"/>
        <v>274.14954103424998</v>
      </c>
      <c r="E23" s="38">
        <v>21</v>
      </c>
      <c r="F23" s="74">
        <f t="shared" si="4"/>
        <v>1093.2342277499997</v>
      </c>
      <c r="G23" s="74">
        <f t="shared" si="0"/>
        <v>356.39435824649991</v>
      </c>
      <c r="I23" s="222" t="s">
        <v>67</v>
      </c>
      <c r="J23" s="222"/>
      <c r="K23" s="223"/>
      <c r="L23" s="242">
        <v>10</v>
      </c>
      <c r="M23" s="8"/>
      <c r="N23" s="8"/>
    </row>
    <row r="24" spans="1:14" ht="15" customHeight="1" thickBot="1" x14ac:dyDescent="0.25">
      <c r="A24" s="38">
        <v>20</v>
      </c>
      <c r="B24" s="74">
        <f t="shared" si="1"/>
        <v>800.90429749999998</v>
      </c>
      <c r="C24" s="75">
        <f t="shared" si="2"/>
        <v>760.98214285714278</v>
      </c>
      <c r="D24" s="74">
        <f t="shared" si="3"/>
        <v>261.09480098500001</v>
      </c>
      <c r="E24" s="38">
        <v>20</v>
      </c>
      <c r="F24" s="74">
        <f t="shared" si="4"/>
        <v>1041.1754549999998</v>
      </c>
      <c r="G24" s="74">
        <f t="shared" si="0"/>
        <v>339.42319832999993</v>
      </c>
      <c r="I24" s="222"/>
      <c r="J24" s="222"/>
      <c r="K24" s="223"/>
      <c r="L24" s="243"/>
      <c r="M24" s="8"/>
      <c r="N24" s="8"/>
    </row>
    <row r="25" spans="1:14" ht="15" customHeight="1" thickBot="1" x14ac:dyDescent="0.25">
      <c r="A25" s="38">
        <v>19</v>
      </c>
      <c r="B25" s="74">
        <f t="shared" si="1"/>
        <v>760.85908262499993</v>
      </c>
      <c r="C25" s="75">
        <f t="shared" si="2"/>
        <v>722.93303571428589</v>
      </c>
      <c r="D25" s="74">
        <f t="shared" si="3"/>
        <v>248.04006093574998</v>
      </c>
      <c r="E25" s="38">
        <v>19</v>
      </c>
      <c r="F25" s="74">
        <f t="shared" si="4"/>
        <v>989.11668224999971</v>
      </c>
      <c r="G25" s="74">
        <f t="shared" si="0"/>
        <v>322.45203841349991</v>
      </c>
      <c r="I25" s="35"/>
      <c r="J25" s="19"/>
      <c r="K25" s="8"/>
      <c r="L25" s="111"/>
      <c r="M25" s="8"/>
      <c r="N25" s="8"/>
    </row>
    <row r="26" spans="1:14" ht="15" customHeight="1" x14ac:dyDescent="0.2">
      <c r="A26" s="38">
        <v>18</v>
      </c>
      <c r="B26" s="74">
        <f t="shared" si="1"/>
        <v>720.81386774999999</v>
      </c>
      <c r="C26" s="75">
        <f t="shared" si="2"/>
        <v>684.88392857142856</v>
      </c>
      <c r="D26" s="74">
        <f t="shared" si="3"/>
        <v>234.98532088650001</v>
      </c>
      <c r="E26" s="38">
        <v>18</v>
      </c>
      <c r="F26" s="74">
        <f t="shared" si="4"/>
        <v>937.05790949999994</v>
      </c>
      <c r="G26" s="74">
        <f t="shared" si="0"/>
        <v>305.48087849699999</v>
      </c>
      <c r="I26" s="222" t="s">
        <v>72</v>
      </c>
      <c r="J26" s="222"/>
      <c r="K26" s="223"/>
      <c r="L26" s="220">
        <v>400.45</v>
      </c>
      <c r="M26" s="8"/>
      <c r="N26" s="8"/>
    </row>
    <row r="27" spans="1:14" ht="15" customHeight="1" thickBot="1" x14ac:dyDescent="0.25">
      <c r="A27" s="38">
        <v>17</v>
      </c>
      <c r="B27" s="74">
        <f t="shared" si="1"/>
        <v>680.76865287499993</v>
      </c>
      <c r="C27" s="75">
        <f t="shared" si="2"/>
        <v>646.83482142857144</v>
      </c>
      <c r="D27" s="74">
        <f t="shared" si="3"/>
        <v>221.93058083724998</v>
      </c>
      <c r="E27" s="38">
        <v>17</v>
      </c>
      <c r="F27" s="74">
        <f t="shared" si="4"/>
        <v>884.99913674999993</v>
      </c>
      <c r="G27" s="74">
        <f t="shared" si="0"/>
        <v>288.50971858049996</v>
      </c>
      <c r="I27" s="222"/>
      <c r="J27" s="222"/>
      <c r="K27" s="223"/>
      <c r="L27" s="221"/>
      <c r="M27" s="8"/>
      <c r="N27" s="8"/>
    </row>
    <row r="28" spans="1:14" ht="15" customHeight="1" thickBot="1" x14ac:dyDescent="0.25">
      <c r="A28" s="38">
        <v>16</v>
      </c>
      <c r="B28" s="74">
        <f t="shared" si="1"/>
        <v>640.72343799999999</v>
      </c>
      <c r="C28" s="75">
        <f t="shared" si="2"/>
        <v>608.78571428571422</v>
      </c>
      <c r="D28" s="74">
        <f t="shared" si="3"/>
        <v>208.875840788</v>
      </c>
      <c r="E28" s="38">
        <v>16</v>
      </c>
      <c r="F28" s="74">
        <f t="shared" si="4"/>
        <v>832.94036399999982</v>
      </c>
      <c r="G28" s="74">
        <f t="shared" si="0"/>
        <v>271.53855866399994</v>
      </c>
      <c r="I28" s="35"/>
      <c r="J28" s="19"/>
      <c r="K28" s="8"/>
      <c r="L28" s="111"/>
      <c r="M28" s="8"/>
      <c r="N28" s="8"/>
    </row>
    <row r="29" spans="1:14" ht="15" customHeight="1" x14ac:dyDescent="0.2">
      <c r="A29" s="38">
        <v>15</v>
      </c>
      <c r="B29" s="74">
        <f t="shared" si="1"/>
        <v>600.67822312500005</v>
      </c>
      <c r="C29" s="75">
        <f t="shared" si="2"/>
        <v>570.73660714285722</v>
      </c>
      <c r="D29" s="74">
        <f t="shared" si="3"/>
        <v>195.82110073875003</v>
      </c>
      <c r="E29" s="38">
        <v>15</v>
      </c>
      <c r="F29" s="74">
        <f t="shared" si="4"/>
        <v>780.88159124999981</v>
      </c>
      <c r="G29" s="74">
        <f t="shared" si="0"/>
        <v>254.56739874749994</v>
      </c>
      <c r="I29" s="224" t="s">
        <v>68</v>
      </c>
      <c r="J29" s="225"/>
      <c r="K29" s="225"/>
      <c r="L29" s="226"/>
      <c r="M29" s="8"/>
      <c r="N29" s="8"/>
    </row>
    <row r="30" spans="1:14" ht="15" customHeight="1" thickBot="1" x14ac:dyDescent="0.25">
      <c r="A30" s="38">
        <v>14</v>
      </c>
      <c r="B30" s="74">
        <f t="shared" si="1"/>
        <v>560.63300824999999</v>
      </c>
      <c r="C30" s="75">
        <f t="shared" si="2"/>
        <v>532.6875</v>
      </c>
      <c r="D30" s="74">
        <f t="shared" si="3"/>
        <v>182.7663606895</v>
      </c>
      <c r="E30" s="38">
        <v>14</v>
      </c>
      <c r="F30" s="74">
        <f t="shared" si="4"/>
        <v>728.82281849999993</v>
      </c>
      <c r="G30" s="74">
        <f t="shared" si="0"/>
        <v>237.59623883099999</v>
      </c>
      <c r="I30" s="227"/>
      <c r="J30" s="228"/>
      <c r="K30" s="228"/>
      <c r="L30" s="229"/>
      <c r="M30" s="8"/>
      <c r="N30" s="8"/>
    </row>
    <row r="31" spans="1:14" ht="15" customHeight="1" thickBot="1" x14ac:dyDescent="0.25">
      <c r="A31" s="38">
        <v>13</v>
      </c>
      <c r="B31" s="74">
        <f t="shared" si="1"/>
        <v>520.58779337500005</v>
      </c>
      <c r="C31" s="75">
        <f t="shared" si="2"/>
        <v>494.63839285714295</v>
      </c>
      <c r="D31" s="74">
        <f t="shared" si="3"/>
        <v>169.71162064025003</v>
      </c>
      <c r="E31" s="38">
        <v>13</v>
      </c>
      <c r="F31" s="74">
        <f t="shared" si="4"/>
        <v>676.76404574999992</v>
      </c>
      <c r="G31" s="74">
        <f t="shared" si="0"/>
        <v>220.62507891449999</v>
      </c>
      <c r="I31" s="134" t="s">
        <v>73</v>
      </c>
      <c r="J31" s="132" t="s">
        <v>57</v>
      </c>
      <c r="K31" s="130" t="s">
        <v>74</v>
      </c>
      <c r="L31" s="115" t="s">
        <v>59</v>
      </c>
      <c r="M31" s="8"/>
      <c r="N31" s="8"/>
    </row>
    <row r="32" spans="1:14" ht="15" customHeight="1" x14ac:dyDescent="0.2">
      <c r="A32" s="38">
        <v>12</v>
      </c>
      <c r="B32" s="74">
        <f t="shared" si="1"/>
        <v>480.54257849999993</v>
      </c>
      <c r="C32" s="75">
        <f t="shared" si="2"/>
        <v>456.58928571428578</v>
      </c>
      <c r="D32" s="74">
        <f t="shared" si="3"/>
        <v>156.65688059099998</v>
      </c>
      <c r="E32" s="38">
        <v>12</v>
      </c>
      <c r="F32" s="74">
        <f t="shared" si="4"/>
        <v>624.70527299999992</v>
      </c>
      <c r="G32" s="74">
        <f t="shared" si="0"/>
        <v>203.65391899799999</v>
      </c>
      <c r="I32" s="249">
        <f>((L23/40*7.5*5)/7)*30*$C$46</f>
        <v>380.49107142857139</v>
      </c>
      <c r="J32" s="251">
        <f>IF(L26&lt;I32,I32,L26)</f>
        <v>400.45</v>
      </c>
      <c r="K32" s="253">
        <v>32.6</v>
      </c>
      <c r="L32" s="236">
        <f>J32*K32%</f>
        <v>130.54669999999999</v>
      </c>
      <c r="M32" s="8"/>
      <c r="N32" s="8"/>
    </row>
    <row r="33" spans="1:14" ht="15" customHeight="1" thickBot="1" x14ac:dyDescent="0.25">
      <c r="A33" s="38">
        <v>11</v>
      </c>
      <c r="B33" s="74">
        <f t="shared" si="1"/>
        <v>440.49736362499999</v>
      </c>
      <c r="C33" s="75">
        <f t="shared" si="2"/>
        <v>418.54017857142867</v>
      </c>
      <c r="D33" s="74">
        <f t="shared" si="3"/>
        <v>143.60214054175</v>
      </c>
      <c r="E33" s="38">
        <v>11</v>
      </c>
      <c r="F33" s="74">
        <f t="shared" si="4"/>
        <v>572.64650024999992</v>
      </c>
      <c r="G33" s="74">
        <f t="shared" si="0"/>
        <v>186.68275908149997</v>
      </c>
      <c r="I33" s="250"/>
      <c r="J33" s="252"/>
      <c r="K33" s="254"/>
      <c r="L33" s="255"/>
      <c r="M33" s="8"/>
      <c r="N33" s="8"/>
    </row>
    <row r="34" spans="1:14" ht="15" customHeight="1" thickBot="1" x14ac:dyDescent="0.25">
      <c r="A34" s="38">
        <v>10</v>
      </c>
      <c r="B34" s="74">
        <f t="shared" si="1"/>
        <v>400.45214874999999</v>
      </c>
      <c r="C34" s="75">
        <f t="shared" si="2"/>
        <v>380.49107142857139</v>
      </c>
      <c r="D34" s="74">
        <f t="shared" si="3"/>
        <v>130.5474004925</v>
      </c>
      <c r="E34" s="38">
        <v>10</v>
      </c>
      <c r="F34" s="74">
        <f t="shared" si="4"/>
        <v>520.58772749999991</v>
      </c>
      <c r="G34" s="74">
        <f t="shared" si="0"/>
        <v>169.71159916499997</v>
      </c>
      <c r="I34" s="244" t="s">
        <v>69</v>
      </c>
      <c r="J34" s="245"/>
      <c r="K34" s="246"/>
      <c r="L34" s="126">
        <f>SUM(L32)</f>
        <v>130.54669999999999</v>
      </c>
      <c r="M34" s="8"/>
      <c r="N34" s="8"/>
    </row>
    <row r="35" spans="1:14" ht="15" customHeight="1" x14ac:dyDescent="0.2">
      <c r="A35" s="38">
        <v>9</v>
      </c>
      <c r="B35" s="74">
        <f t="shared" si="1"/>
        <v>360.40693387499999</v>
      </c>
      <c r="C35" s="75">
        <f t="shared" si="2"/>
        <v>342.44196428571428</v>
      </c>
      <c r="D35" s="74">
        <f t="shared" si="3"/>
        <v>117.49266044325</v>
      </c>
      <c r="E35" s="38">
        <v>9</v>
      </c>
      <c r="F35" s="74">
        <f t="shared" si="4"/>
        <v>468.52895474999997</v>
      </c>
      <c r="G35" s="74">
        <f t="shared" si="0"/>
        <v>152.7404392485</v>
      </c>
      <c r="I35" s="35"/>
      <c r="J35" s="19"/>
      <c r="K35" s="8"/>
      <c r="L35" s="111"/>
      <c r="M35" s="8"/>
      <c r="N35" s="133"/>
    </row>
    <row r="36" spans="1:14" ht="15" customHeight="1" x14ac:dyDescent="0.2">
      <c r="A36" s="38">
        <v>8</v>
      </c>
      <c r="B36" s="74">
        <f t="shared" si="1"/>
        <v>320.36171899999999</v>
      </c>
      <c r="C36" s="75">
        <f t="shared" si="2"/>
        <v>304.39285714285711</v>
      </c>
      <c r="D36" s="74">
        <f t="shared" si="3"/>
        <v>104.437920394</v>
      </c>
      <c r="E36" s="38">
        <v>8</v>
      </c>
      <c r="F36" s="74">
        <f t="shared" si="4"/>
        <v>416.47018199999991</v>
      </c>
      <c r="G36" s="74">
        <f t="shared" si="0"/>
        <v>135.76927933199997</v>
      </c>
      <c r="I36" s="247" t="s">
        <v>71</v>
      </c>
      <c r="J36" s="247"/>
      <c r="K36" s="247"/>
      <c r="L36" s="247"/>
      <c r="M36" s="248" t="s">
        <v>70</v>
      </c>
      <c r="N36" s="133"/>
    </row>
    <row r="37" spans="1:14" ht="15" customHeight="1" x14ac:dyDescent="0.2">
      <c r="A37" s="38">
        <v>7</v>
      </c>
      <c r="B37" s="74">
        <f t="shared" si="1"/>
        <v>280.31650412499999</v>
      </c>
      <c r="C37" s="75">
        <f t="shared" si="2"/>
        <v>266.34375</v>
      </c>
      <c r="D37" s="74">
        <f t="shared" si="3"/>
        <v>91.383180344750002</v>
      </c>
      <c r="E37" s="38">
        <v>7</v>
      </c>
      <c r="F37" s="74">
        <f t="shared" si="4"/>
        <v>364.41140924999996</v>
      </c>
      <c r="G37" s="74">
        <f t="shared" si="0"/>
        <v>118.7981194155</v>
      </c>
      <c r="I37" s="247"/>
      <c r="J37" s="247"/>
      <c r="K37" s="247"/>
      <c r="L37" s="247"/>
      <c r="M37" s="248"/>
      <c r="N37" s="133"/>
    </row>
    <row r="38" spans="1:14" ht="15" customHeight="1" x14ac:dyDescent="0.2">
      <c r="A38" s="38">
        <v>6</v>
      </c>
      <c r="B38" s="74">
        <f t="shared" si="1"/>
        <v>240.27128924999997</v>
      </c>
      <c r="C38" s="75">
        <f t="shared" si="2"/>
        <v>228.29464285714289</v>
      </c>
      <c r="D38" s="74">
        <f t="shared" si="3"/>
        <v>78.328440295499988</v>
      </c>
      <c r="E38" s="38">
        <v>6</v>
      </c>
      <c r="F38" s="74">
        <f t="shared" si="4"/>
        <v>312.35263649999996</v>
      </c>
      <c r="G38" s="74">
        <f t="shared" si="0"/>
        <v>101.826959499</v>
      </c>
      <c r="I38" s="5"/>
    </row>
    <row r="39" spans="1:14" ht="15" customHeight="1" x14ac:dyDescent="0.2">
      <c r="A39" s="38">
        <v>5</v>
      </c>
      <c r="B39" s="74">
        <f t="shared" si="1"/>
        <v>200.226074375</v>
      </c>
      <c r="C39" s="75">
        <f t="shared" si="2"/>
        <v>190.24553571428569</v>
      </c>
      <c r="D39" s="74">
        <f t="shared" si="3"/>
        <v>65.273700246250002</v>
      </c>
      <c r="E39" s="38">
        <v>5</v>
      </c>
      <c r="F39" s="74">
        <f t="shared" si="4"/>
        <v>260.29386374999996</v>
      </c>
      <c r="G39" s="74">
        <f t="shared" si="0"/>
        <v>84.855799582499984</v>
      </c>
      <c r="I39" s="5"/>
    </row>
    <row r="40" spans="1:14" ht="15" customHeight="1" x14ac:dyDescent="0.2">
      <c r="A40" s="38">
        <v>4</v>
      </c>
      <c r="B40" s="74">
        <f t="shared" si="1"/>
        <v>160.1808595</v>
      </c>
      <c r="C40" s="75">
        <f t="shared" si="2"/>
        <v>152.19642857142856</v>
      </c>
      <c r="D40" s="74">
        <f t="shared" si="3"/>
        <v>52.218960197000001</v>
      </c>
      <c r="E40" s="38">
        <v>4</v>
      </c>
      <c r="F40" s="74">
        <f t="shared" si="4"/>
        <v>208.23509099999995</v>
      </c>
      <c r="G40" s="74">
        <f t="shared" si="0"/>
        <v>67.884639665999984</v>
      </c>
      <c r="I40" s="5"/>
    </row>
    <row r="41" spans="1:14" ht="15" customHeight="1" x14ac:dyDescent="0.2">
      <c r="A41" s="38">
        <v>3</v>
      </c>
      <c r="B41" s="74">
        <f t="shared" si="1"/>
        <v>120.13564462499998</v>
      </c>
      <c r="C41" s="75">
        <f t="shared" si="2"/>
        <v>114.14732142857144</v>
      </c>
      <c r="D41" s="74">
        <f t="shared" si="3"/>
        <v>39.164220147749994</v>
      </c>
      <c r="E41" s="38">
        <v>3</v>
      </c>
      <c r="F41" s="74">
        <f t="shared" si="4"/>
        <v>156.17631824999998</v>
      </c>
      <c r="G41" s="74">
        <f t="shared" si="0"/>
        <v>50.913479749499999</v>
      </c>
      <c r="I41" s="5"/>
    </row>
    <row r="42" spans="1:14" ht="15" customHeight="1" x14ac:dyDescent="0.2">
      <c r="A42" s="38">
        <v>2</v>
      </c>
      <c r="B42" s="74">
        <f t="shared" si="1"/>
        <v>80.090429749999998</v>
      </c>
      <c r="C42" s="75">
        <f t="shared" si="2"/>
        <v>76.098214285714278</v>
      </c>
      <c r="D42" s="74">
        <f t="shared" si="3"/>
        <v>26.109480098500001</v>
      </c>
      <c r="E42" s="38">
        <v>2</v>
      </c>
      <c r="F42" s="74">
        <f t="shared" si="4"/>
        <v>104.11754549999998</v>
      </c>
      <c r="G42" s="74">
        <f t="shared" si="0"/>
        <v>33.942319832999992</v>
      </c>
      <c r="I42" s="5"/>
    </row>
    <row r="43" spans="1:14" ht="15" customHeight="1" x14ac:dyDescent="0.2">
      <c r="A43" s="39">
        <v>1</v>
      </c>
      <c r="B43" s="76">
        <f t="shared" si="1"/>
        <v>40.045214874999999</v>
      </c>
      <c r="C43" s="77">
        <f t="shared" si="2"/>
        <v>38.049107142857139</v>
      </c>
      <c r="D43" s="76">
        <f t="shared" si="3"/>
        <v>13.05474004925</v>
      </c>
      <c r="E43" s="39">
        <v>1</v>
      </c>
      <c r="F43" s="76">
        <f t="shared" si="4"/>
        <v>52.058772749999989</v>
      </c>
      <c r="G43" s="76">
        <f t="shared" si="0"/>
        <v>16.971159916499996</v>
      </c>
      <c r="I43" s="5"/>
    </row>
    <row r="45" spans="1:14" x14ac:dyDescent="0.2">
      <c r="C45" s="198" t="s">
        <v>99</v>
      </c>
    </row>
    <row r="46" spans="1:14" s="21" customFormat="1" ht="34.5" hidden="1" customHeight="1" thickBot="1" x14ac:dyDescent="0.25">
      <c r="A46" s="189"/>
      <c r="B46" s="205" t="s">
        <v>14</v>
      </c>
      <c r="C46" s="206">
        <v>9.4700000000000006</v>
      </c>
      <c r="D46" s="190"/>
      <c r="E46" s="191"/>
      <c r="F46" s="190"/>
      <c r="G46" s="190"/>
      <c r="I46" s="192"/>
    </row>
  </sheetData>
  <sheetProtection algorithmName="SHA-512" hashValue="b5RXCQvlJzg1DV66F6eiwW2xjx0YHCXQ98sVT81/82/wPhKlP8/bF7938uxlopnzKvXANOtgYGIaW1kLylBl6w==" saltValue="IArmskSn7kdIveDf3Y2N0w==" spinCount="100000" sheet="1" objects="1" scenarios="1"/>
  <protectedRanges>
    <protectedRange sqref="M36" name="CALCULO RC"/>
    <protectedRange sqref="L26" name="RET TP"/>
    <protectedRange sqref="L23" name="DED"/>
    <protectedRange sqref="L8" name="RET TC"/>
  </protectedRanges>
  <mergeCells count="35">
    <mergeCell ref="A1:G1"/>
    <mergeCell ref="B2:D2"/>
    <mergeCell ref="F2:G2"/>
    <mergeCell ref="I2:K2"/>
    <mergeCell ref="L2:M2"/>
    <mergeCell ref="I4:I5"/>
    <mergeCell ref="J4:J5"/>
    <mergeCell ref="K4:K5"/>
    <mergeCell ref="L4:L5"/>
    <mergeCell ref="M4:M5"/>
    <mergeCell ref="I8:K9"/>
    <mergeCell ref="L8:L9"/>
    <mergeCell ref="I11:L12"/>
    <mergeCell ref="I14:I15"/>
    <mergeCell ref="J14:J15"/>
    <mergeCell ref="K14:K15"/>
    <mergeCell ref="L14:L15"/>
    <mergeCell ref="I16:I17"/>
    <mergeCell ref="J16:J17"/>
    <mergeCell ref="K16:K17"/>
    <mergeCell ref="L16:L17"/>
    <mergeCell ref="I18:J18"/>
    <mergeCell ref="I20:N21"/>
    <mergeCell ref="I23:K24"/>
    <mergeCell ref="L23:L24"/>
    <mergeCell ref="I26:K27"/>
    <mergeCell ref="L26:L27"/>
    <mergeCell ref="I34:K34"/>
    <mergeCell ref="I36:L37"/>
    <mergeCell ref="M36:M37"/>
    <mergeCell ref="I29:L30"/>
    <mergeCell ref="I32:I33"/>
    <mergeCell ref="J32:J33"/>
    <mergeCell ref="K32:K33"/>
    <mergeCell ref="L32:L33"/>
  </mergeCells>
  <hyperlinks>
    <hyperlink ref="M36:M37" r:id="rId1" display="CALCULO RC"/>
  </hyperlinks>
  <pageMargins left="0.94488188976377963" right="0.94488188976377963" top="0" bottom="0.39370078740157483" header="0" footer="0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selection activeCell="H23" sqref="H23"/>
    </sheetView>
  </sheetViews>
  <sheetFormatPr baseColWidth="10" defaultColWidth="11.5703125" defaultRowHeight="14.25" x14ac:dyDescent="0.2"/>
  <cols>
    <col min="1" max="1" width="18.42578125" style="4" customWidth="1"/>
    <col min="2" max="2" width="24.85546875" style="4" customWidth="1"/>
    <col min="3" max="3" width="16.7109375" style="6" hidden="1" customWidth="1"/>
    <col min="4" max="4" width="18.42578125" style="4" customWidth="1"/>
    <col min="5" max="5" width="18.42578125" style="5" customWidth="1"/>
    <col min="6" max="6" width="24.85546875" style="4" customWidth="1"/>
    <col min="7" max="7" width="18.42578125" style="4" customWidth="1"/>
    <col min="8" max="8" width="11.5703125" style="5"/>
    <col min="9" max="9" width="17.85546875" style="7" customWidth="1"/>
    <col min="10" max="10" width="18.7109375" style="5" customWidth="1"/>
    <col min="11" max="11" width="19.42578125" style="5" customWidth="1"/>
    <col min="12" max="12" width="16" style="5" customWidth="1"/>
    <col min="13" max="13" width="14.42578125" style="5" customWidth="1"/>
    <col min="14" max="14" width="13.140625" style="5" bestFit="1" customWidth="1"/>
    <col min="15" max="16384" width="11.5703125" style="5"/>
  </cols>
  <sheetData>
    <row r="1" spans="1:14" s="8" customFormat="1" ht="65.25" customHeight="1" x14ac:dyDescent="0.2">
      <c r="A1" s="210" t="s">
        <v>105</v>
      </c>
      <c r="B1" s="211"/>
      <c r="C1" s="211"/>
      <c r="D1" s="211"/>
      <c r="E1" s="211"/>
      <c r="F1" s="211"/>
      <c r="G1" s="211"/>
      <c r="K1" s="19"/>
    </row>
    <row r="2" spans="1:14" s="36" customFormat="1" ht="24.75" customHeight="1" x14ac:dyDescent="0.2">
      <c r="A2" s="44"/>
      <c r="B2" s="284" t="s">
        <v>47</v>
      </c>
      <c r="C2" s="284"/>
      <c r="D2" s="285"/>
      <c r="E2" s="42"/>
      <c r="F2" s="284" t="s">
        <v>48</v>
      </c>
      <c r="G2" s="285"/>
      <c r="I2" s="212" t="s">
        <v>52</v>
      </c>
      <c r="J2" s="212"/>
      <c r="K2" s="212"/>
      <c r="L2" s="212" t="s">
        <v>56</v>
      </c>
      <c r="M2" s="212"/>
    </row>
    <row r="3" spans="1:14" s="27" customFormat="1" ht="38.25" x14ac:dyDescent="0.2">
      <c r="A3" s="43" t="s">
        <v>45</v>
      </c>
      <c r="B3" s="66" t="s">
        <v>46</v>
      </c>
      <c r="C3" s="67" t="s">
        <v>15</v>
      </c>
      <c r="D3" s="68" t="s">
        <v>49</v>
      </c>
      <c r="E3" s="40" t="s">
        <v>45</v>
      </c>
      <c r="F3" s="66" t="s">
        <v>46</v>
      </c>
      <c r="G3" s="68" t="s">
        <v>50</v>
      </c>
      <c r="I3" s="120" t="s">
        <v>51</v>
      </c>
      <c r="J3" s="120" t="s">
        <v>62</v>
      </c>
      <c r="K3" s="120" t="s">
        <v>63</v>
      </c>
      <c r="L3" s="121" t="s">
        <v>54</v>
      </c>
      <c r="M3" s="120" t="s">
        <v>55</v>
      </c>
    </row>
    <row r="4" spans="1:14" ht="15" customHeight="1" x14ac:dyDescent="0.2">
      <c r="A4" s="37">
        <v>40</v>
      </c>
      <c r="B4" s="72">
        <f>PARAMETROS!B6</f>
        <v>1507.5845083333336</v>
      </c>
      <c r="C4" s="73"/>
      <c r="D4" s="72"/>
      <c r="E4" s="37">
        <v>40</v>
      </c>
      <c r="F4" s="72">
        <f>PARAMETROS!C6</f>
        <v>1959.8594216666665</v>
      </c>
      <c r="G4" s="72">
        <f>IF(F4&gt;$K$4,$K$4*$K$18%,F4*$K$18%)</f>
        <v>638.91417146333333</v>
      </c>
      <c r="I4" s="213">
        <v>1</v>
      </c>
      <c r="J4" s="282">
        <v>1572.3</v>
      </c>
      <c r="K4" s="282">
        <v>4139.3999999999996</v>
      </c>
      <c r="L4" s="283">
        <v>1125.9000000000001</v>
      </c>
      <c r="M4" s="283">
        <v>4139.3999999999996</v>
      </c>
      <c r="N4" s="8"/>
    </row>
    <row r="5" spans="1:14" ht="15" customHeight="1" x14ac:dyDescent="0.2">
      <c r="A5" s="38">
        <v>39</v>
      </c>
      <c r="B5" s="74">
        <f>PRODUCT(B$4,A5)/A$4</f>
        <v>1469.8948956250001</v>
      </c>
      <c r="C5" s="75">
        <f t="shared" ref="C5:C43" si="0">(A5/$A$4*7.5*5)/7*30*$C$46</f>
        <v>1483.9151785714284</v>
      </c>
      <c r="D5" s="74">
        <f>IF(B5&lt;C5,C5*$K$18%,B5*$K$18%)</f>
        <v>483.75634821428571</v>
      </c>
      <c r="E5" s="38">
        <v>39</v>
      </c>
      <c r="F5" s="74">
        <f>PRODUCT(F$4,E5)/E$4</f>
        <v>1910.8629361249998</v>
      </c>
      <c r="G5" s="74">
        <f t="shared" ref="G5:G43" si="1">IF(F5&gt;$K$4,$K$4*$K$18%,F5*$K$18%)</f>
        <v>622.94131717674998</v>
      </c>
      <c r="I5" s="213"/>
      <c r="J5" s="282"/>
      <c r="K5" s="282"/>
      <c r="L5" s="283"/>
      <c r="M5" s="283"/>
      <c r="N5" s="8"/>
    </row>
    <row r="6" spans="1:14" ht="15" customHeight="1" x14ac:dyDescent="0.2">
      <c r="A6" s="38">
        <v>38</v>
      </c>
      <c r="B6" s="74">
        <f t="shared" ref="B6:B43" si="2">PRODUCT(B$4,A6)/A$4</f>
        <v>1432.2052829166669</v>
      </c>
      <c r="C6" s="75">
        <f t="shared" si="0"/>
        <v>1445.8660714285718</v>
      </c>
      <c r="D6" s="74">
        <f t="shared" ref="D6:D43" si="3">IF(B6&lt;C6,C6*$K$18%,B6*$K$18%)</f>
        <v>471.35233928571444</v>
      </c>
      <c r="E6" s="38">
        <v>38</v>
      </c>
      <c r="F6" s="74">
        <f t="shared" ref="F6:F43" si="4">PRODUCT(F$4,E6)/E$4</f>
        <v>1861.8664505833331</v>
      </c>
      <c r="G6" s="74">
        <f t="shared" si="1"/>
        <v>606.96846289016662</v>
      </c>
      <c r="I6" s="35"/>
      <c r="J6" s="8"/>
      <c r="K6" s="8"/>
      <c r="L6" s="111"/>
      <c r="M6" s="8"/>
      <c r="N6" s="8"/>
    </row>
    <row r="7" spans="1:14" ht="15" customHeight="1" thickBot="1" x14ac:dyDescent="0.25">
      <c r="A7" s="38">
        <v>37</v>
      </c>
      <c r="B7" s="74">
        <f t="shared" si="2"/>
        <v>1394.5156702083336</v>
      </c>
      <c r="C7" s="75">
        <f t="shared" si="0"/>
        <v>1407.8169642857147</v>
      </c>
      <c r="D7" s="74">
        <f t="shared" si="3"/>
        <v>458.94833035714299</v>
      </c>
      <c r="E7" s="38">
        <v>37</v>
      </c>
      <c r="F7" s="74">
        <f t="shared" si="4"/>
        <v>1812.8699650416668</v>
      </c>
      <c r="G7" s="74">
        <f t="shared" si="1"/>
        <v>590.99560860358338</v>
      </c>
      <c r="I7" s="35"/>
      <c r="J7" s="19"/>
      <c r="K7" s="8"/>
      <c r="L7" s="111"/>
      <c r="M7" s="8"/>
      <c r="N7" s="8"/>
    </row>
    <row r="8" spans="1:14" ht="15" customHeight="1" x14ac:dyDescent="0.2">
      <c r="A8" s="38">
        <v>36</v>
      </c>
      <c r="B8" s="74">
        <f t="shared" si="2"/>
        <v>1356.8260575000002</v>
      </c>
      <c r="C8" s="75">
        <f t="shared" si="0"/>
        <v>1369.7678571428571</v>
      </c>
      <c r="D8" s="74">
        <f t="shared" si="3"/>
        <v>446.54432142857144</v>
      </c>
      <c r="E8" s="38">
        <v>36</v>
      </c>
      <c r="F8" s="74">
        <f t="shared" si="4"/>
        <v>1763.8734795</v>
      </c>
      <c r="G8" s="74">
        <f t="shared" si="1"/>
        <v>575.02275431700002</v>
      </c>
      <c r="I8" s="222" t="s">
        <v>66</v>
      </c>
      <c r="J8" s="222"/>
      <c r="K8" s="223"/>
      <c r="L8" s="220">
        <v>0</v>
      </c>
      <c r="M8" s="8"/>
      <c r="N8" s="150"/>
    </row>
    <row r="9" spans="1:14" ht="15" customHeight="1" thickBot="1" x14ac:dyDescent="0.25">
      <c r="A9" s="38">
        <v>35</v>
      </c>
      <c r="B9" s="74">
        <f t="shared" si="2"/>
        <v>1319.1364447916669</v>
      </c>
      <c r="C9" s="75">
        <f t="shared" si="0"/>
        <v>1331.71875</v>
      </c>
      <c r="D9" s="74">
        <f t="shared" si="3"/>
        <v>434.14031249999999</v>
      </c>
      <c r="E9" s="38">
        <v>35</v>
      </c>
      <c r="F9" s="74">
        <f t="shared" si="4"/>
        <v>1714.8769939583333</v>
      </c>
      <c r="G9" s="74">
        <f t="shared" si="1"/>
        <v>559.04990003041667</v>
      </c>
      <c r="I9" s="222"/>
      <c r="J9" s="222"/>
      <c r="K9" s="223"/>
      <c r="L9" s="221"/>
      <c r="M9" s="8"/>
      <c r="N9" s="8"/>
    </row>
    <row r="10" spans="1:14" ht="15" customHeight="1" thickBot="1" x14ac:dyDescent="0.25">
      <c r="A10" s="38">
        <v>34</v>
      </c>
      <c r="B10" s="74">
        <f t="shared" si="2"/>
        <v>1281.4468320833334</v>
      </c>
      <c r="C10" s="75">
        <f t="shared" si="0"/>
        <v>1293.6696428571429</v>
      </c>
      <c r="D10" s="74">
        <f t="shared" si="3"/>
        <v>421.73630357142861</v>
      </c>
      <c r="E10" s="38">
        <v>34</v>
      </c>
      <c r="F10" s="74">
        <f t="shared" si="4"/>
        <v>1665.8805084166665</v>
      </c>
      <c r="G10" s="74">
        <f t="shared" si="1"/>
        <v>543.07704574383331</v>
      </c>
      <c r="I10" s="116"/>
      <c r="J10" s="117"/>
      <c r="K10" s="118"/>
      <c r="L10" s="119"/>
      <c r="M10" s="8"/>
      <c r="N10" s="8"/>
    </row>
    <row r="11" spans="1:14" ht="15" customHeight="1" x14ac:dyDescent="0.2">
      <c r="A11" s="38">
        <v>33</v>
      </c>
      <c r="B11" s="74">
        <f t="shared" si="2"/>
        <v>1243.7572193750002</v>
      </c>
      <c r="C11" s="75">
        <f t="shared" si="0"/>
        <v>1255.6205357142856</v>
      </c>
      <c r="D11" s="74">
        <f t="shared" si="3"/>
        <v>409.33229464285711</v>
      </c>
      <c r="E11" s="38">
        <v>33</v>
      </c>
      <c r="F11" s="74">
        <f t="shared" si="4"/>
        <v>1616.884022875</v>
      </c>
      <c r="G11" s="74">
        <f t="shared" si="1"/>
        <v>527.10419145725007</v>
      </c>
      <c r="I11" s="224" t="s">
        <v>64</v>
      </c>
      <c r="J11" s="225"/>
      <c r="K11" s="225"/>
      <c r="L11" s="226"/>
      <c r="M11" s="8"/>
      <c r="N11" s="8"/>
    </row>
    <row r="12" spans="1:14" ht="15" customHeight="1" thickBot="1" x14ac:dyDescent="0.25">
      <c r="A12" s="38">
        <v>32</v>
      </c>
      <c r="B12" s="74">
        <f t="shared" si="2"/>
        <v>1206.067606666667</v>
      </c>
      <c r="C12" s="75">
        <f t="shared" si="0"/>
        <v>1217.5714285714284</v>
      </c>
      <c r="D12" s="74">
        <f t="shared" si="3"/>
        <v>396.92828571428566</v>
      </c>
      <c r="E12" s="38">
        <v>32</v>
      </c>
      <c r="F12" s="74">
        <f t="shared" si="4"/>
        <v>1567.8875373333333</v>
      </c>
      <c r="G12" s="74">
        <f t="shared" si="1"/>
        <v>511.13133717066665</v>
      </c>
      <c r="I12" s="227"/>
      <c r="J12" s="228"/>
      <c r="K12" s="228"/>
      <c r="L12" s="229"/>
      <c r="M12" s="8"/>
      <c r="N12" s="8"/>
    </row>
    <row r="13" spans="1:14" ht="15" customHeight="1" thickBot="1" x14ac:dyDescent="0.25">
      <c r="A13" s="38">
        <v>31</v>
      </c>
      <c r="B13" s="74">
        <f t="shared" si="2"/>
        <v>1168.3779939583335</v>
      </c>
      <c r="C13" s="75">
        <f t="shared" si="0"/>
        <v>1179.5223214285716</v>
      </c>
      <c r="D13" s="74">
        <f t="shared" si="3"/>
        <v>384.52427678571433</v>
      </c>
      <c r="E13" s="38">
        <v>31</v>
      </c>
      <c r="F13" s="74">
        <f t="shared" si="4"/>
        <v>1518.8910517916665</v>
      </c>
      <c r="G13" s="74">
        <f t="shared" si="1"/>
        <v>495.1584828840833</v>
      </c>
      <c r="I13" s="113"/>
      <c r="J13" s="114" t="s">
        <v>57</v>
      </c>
      <c r="K13" s="130" t="s">
        <v>58</v>
      </c>
      <c r="L13" s="115" t="s">
        <v>59</v>
      </c>
      <c r="M13" s="8"/>
      <c r="N13" s="8"/>
    </row>
    <row r="14" spans="1:14" ht="15" customHeight="1" x14ac:dyDescent="0.2">
      <c r="A14" s="38">
        <v>30</v>
      </c>
      <c r="B14" s="74">
        <f t="shared" si="2"/>
        <v>1130.6883812500002</v>
      </c>
      <c r="C14" s="75">
        <f t="shared" si="0"/>
        <v>1141.4732142857144</v>
      </c>
      <c r="D14" s="74">
        <f t="shared" si="3"/>
        <v>372.12026785714295</v>
      </c>
      <c r="E14" s="38">
        <v>30</v>
      </c>
      <c r="F14" s="74">
        <f t="shared" si="4"/>
        <v>1469.8945662499998</v>
      </c>
      <c r="G14" s="74">
        <f t="shared" si="1"/>
        <v>479.18562859749994</v>
      </c>
      <c r="I14" s="230" t="s">
        <v>60</v>
      </c>
      <c r="J14" s="232">
        <f>IF(L8&gt;=J4,L8,J4)</f>
        <v>1572.3</v>
      </c>
      <c r="K14" s="234">
        <v>23.6</v>
      </c>
      <c r="L14" s="240">
        <f>J14*K14%</f>
        <v>371.06280000000004</v>
      </c>
      <c r="M14" s="8"/>
      <c r="N14" s="8"/>
    </row>
    <row r="15" spans="1:14" ht="15" customHeight="1" thickBot="1" x14ac:dyDescent="0.25">
      <c r="A15" s="38">
        <v>29</v>
      </c>
      <c r="B15" s="74">
        <f t="shared" si="2"/>
        <v>1092.9987685416668</v>
      </c>
      <c r="C15" s="75">
        <f t="shared" si="0"/>
        <v>1103.4241071428573</v>
      </c>
      <c r="D15" s="74">
        <f t="shared" si="3"/>
        <v>359.71625892857151</v>
      </c>
      <c r="E15" s="38">
        <v>29</v>
      </c>
      <c r="F15" s="74">
        <f t="shared" si="4"/>
        <v>1420.8980807083333</v>
      </c>
      <c r="G15" s="74">
        <f t="shared" si="1"/>
        <v>463.21277431091664</v>
      </c>
      <c r="I15" s="231"/>
      <c r="J15" s="233"/>
      <c r="K15" s="235"/>
      <c r="L15" s="241"/>
      <c r="M15" s="8"/>
      <c r="N15" s="8"/>
    </row>
    <row r="16" spans="1:14" ht="15" customHeight="1" x14ac:dyDescent="0.2">
      <c r="A16" s="38">
        <v>28</v>
      </c>
      <c r="B16" s="74">
        <f t="shared" si="2"/>
        <v>1055.3091558333335</v>
      </c>
      <c r="C16" s="75">
        <f t="shared" si="0"/>
        <v>1065.375</v>
      </c>
      <c r="D16" s="74">
        <f t="shared" si="3"/>
        <v>347.31225000000001</v>
      </c>
      <c r="E16" s="38">
        <v>28</v>
      </c>
      <c r="F16" s="74">
        <f t="shared" si="4"/>
        <v>1371.9015951666665</v>
      </c>
      <c r="G16" s="74">
        <f t="shared" si="1"/>
        <v>447.23992002433329</v>
      </c>
      <c r="I16" s="238" t="s">
        <v>61</v>
      </c>
      <c r="J16" s="232">
        <f>IF(L8&gt;=L4,L8,L4)</f>
        <v>1125.9000000000001</v>
      </c>
      <c r="K16" s="234">
        <v>9</v>
      </c>
      <c r="L16" s="236">
        <f>J16*K16%</f>
        <v>101.331</v>
      </c>
      <c r="M16" s="8"/>
      <c r="N16" s="8"/>
    </row>
    <row r="17" spans="1:14" ht="15" customHeight="1" thickBot="1" x14ac:dyDescent="0.25">
      <c r="A17" s="38">
        <v>27</v>
      </c>
      <c r="B17" s="74">
        <f t="shared" si="2"/>
        <v>1017.6195431250002</v>
      </c>
      <c r="C17" s="75">
        <f t="shared" si="0"/>
        <v>1027.3258928571429</v>
      </c>
      <c r="D17" s="74">
        <f t="shared" si="3"/>
        <v>334.90824107142862</v>
      </c>
      <c r="E17" s="38">
        <v>27</v>
      </c>
      <c r="F17" s="74">
        <f t="shared" si="4"/>
        <v>1322.905109625</v>
      </c>
      <c r="G17" s="74">
        <f t="shared" si="1"/>
        <v>431.26706573775004</v>
      </c>
      <c r="I17" s="239"/>
      <c r="J17" s="233"/>
      <c r="K17" s="235">
        <v>0.2</v>
      </c>
      <c r="L17" s="237"/>
      <c r="M17" s="8"/>
      <c r="N17" s="8"/>
    </row>
    <row r="18" spans="1:14" ht="15" customHeight="1" thickBot="1" x14ac:dyDescent="0.25">
      <c r="A18" s="38">
        <v>26</v>
      </c>
      <c r="B18" s="74">
        <f t="shared" si="2"/>
        <v>979.92993041666682</v>
      </c>
      <c r="C18" s="75">
        <f t="shared" si="0"/>
        <v>989.27678571428589</v>
      </c>
      <c r="D18" s="74">
        <f t="shared" si="3"/>
        <v>322.50423214285723</v>
      </c>
      <c r="E18" s="38">
        <v>26</v>
      </c>
      <c r="F18" s="74">
        <f t="shared" si="4"/>
        <v>1273.9086240833333</v>
      </c>
      <c r="G18" s="74">
        <f t="shared" si="1"/>
        <v>415.29421145116669</v>
      </c>
      <c r="I18" s="218" t="s">
        <v>65</v>
      </c>
      <c r="J18" s="219"/>
      <c r="K18" s="131">
        <f>(K14+K16)</f>
        <v>32.6</v>
      </c>
      <c r="L18" s="126">
        <f>SUM(L14:L17)</f>
        <v>472.39380000000006</v>
      </c>
      <c r="M18" s="8"/>
      <c r="N18" s="8"/>
    </row>
    <row r="19" spans="1:14" ht="15" customHeight="1" x14ac:dyDescent="0.2">
      <c r="A19" s="38">
        <v>25</v>
      </c>
      <c r="B19" s="74">
        <f t="shared" si="2"/>
        <v>942.24031770833358</v>
      </c>
      <c r="C19" s="75">
        <f t="shared" si="0"/>
        <v>951.22767857142867</v>
      </c>
      <c r="D19" s="74">
        <f t="shared" si="3"/>
        <v>310.10022321428573</v>
      </c>
      <c r="E19" s="38">
        <v>25</v>
      </c>
      <c r="F19" s="74">
        <f t="shared" si="4"/>
        <v>1224.9121385416665</v>
      </c>
      <c r="G19" s="74">
        <f t="shared" si="1"/>
        <v>399.32135716458333</v>
      </c>
      <c r="I19" s="122"/>
      <c r="J19" s="123"/>
      <c r="K19" s="124"/>
      <c r="L19" s="125"/>
      <c r="M19" s="8"/>
      <c r="N19" s="8"/>
    </row>
    <row r="20" spans="1:14" ht="15" customHeight="1" x14ac:dyDescent="0.2">
      <c r="A20" s="38">
        <v>24</v>
      </c>
      <c r="B20" s="74">
        <f t="shared" si="2"/>
        <v>904.55070500000022</v>
      </c>
      <c r="C20" s="75">
        <f t="shared" si="0"/>
        <v>913.17857142857156</v>
      </c>
      <c r="D20" s="74">
        <f t="shared" si="3"/>
        <v>297.69621428571435</v>
      </c>
      <c r="E20" s="38">
        <v>24</v>
      </c>
      <c r="F20" s="74">
        <f t="shared" si="4"/>
        <v>1175.915653</v>
      </c>
      <c r="G20" s="74">
        <f t="shared" si="1"/>
        <v>383.34850287800003</v>
      </c>
      <c r="I20" s="260" t="s">
        <v>83</v>
      </c>
      <c r="J20" s="260"/>
      <c r="K20" s="260"/>
      <c r="L20" s="260"/>
      <c r="M20" s="260"/>
      <c r="N20" s="260"/>
    </row>
    <row r="21" spans="1:14" ht="15" customHeight="1" x14ac:dyDescent="0.2">
      <c r="A21" s="38">
        <v>23</v>
      </c>
      <c r="B21" s="74">
        <f t="shared" si="2"/>
        <v>866.86109229166686</v>
      </c>
      <c r="C21" s="75">
        <f t="shared" si="0"/>
        <v>875.12946428571422</v>
      </c>
      <c r="D21" s="74">
        <f t="shared" si="3"/>
        <v>285.29220535714285</v>
      </c>
      <c r="E21" s="38">
        <v>23</v>
      </c>
      <c r="F21" s="74">
        <f t="shared" si="4"/>
        <v>1126.9191674583333</v>
      </c>
      <c r="G21" s="74">
        <f t="shared" si="1"/>
        <v>367.37564859141668</v>
      </c>
      <c r="I21" s="260"/>
      <c r="J21" s="260"/>
      <c r="K21" s="260"/>
      <c r="L21" s="260"/>
      <c r="M21" s="260"/>
      <c r="N21" s="260"/>
    </row>
    <row r="22" spans="1:14" ht="15" customHeight="1" thickBot="1" x14ac:dyDescent="0.25">
      <c r="A22" s="38">
        <v>22</v>
      </c>
      <c r="B22" s="74">
        <f t="shared" si="2"/>
        <v>829.17147958333351</v>
      </c>
      <c r="C22" s="75">
        <f t="shared" si="0"/>
        <v>837.08035714285734</v>
      </c>
      <c r="D22" s="74">
        <f t="shared" si="3"/>
        <v>272.88819642857152</v>
      </c>
      <c r="E22" s="38">
        <v>22</v>
      </c>
      <c r="F22" s="74">
        <f t="shared" si="4"/>
        <v>1077.9226819166665</v>
      </c>
      <c r="G22" s="74">
        <f t="shared" si="1"/>
        <v>351.40279430483332</v>
      </c>
      <c r="I22" s="35"/>
      <c r="J22" s="19"/>
      <c r="K22" s="8"/>
      <c r="L22" s="111"/>
      <c r="M22" s="8"/>
      <c r="N22" s="8"/>
    </row>
    <row r="23" spans="1:14" ht="15" customHeight="1" x14ac:dyDescent="0.2">
      <c r="A23" s="38">
        <v>21</v>
      </c>
      <c r="B23" s="74">
        <f t="shared" si="2"/>
        <v>791.48186687500015</v>
      </c>
      <c r="C23" s="75">
        <f t="shared" si="0"/>
        <v>799.03125</v>
      </c>
      <c r="D23" s="74">
        <f t="shared" si="3"/>
        <v>260.48418750000002</v>
      </c>
      <c r="E23" s="38">
        <v>21</v>
      </c>
      <c r="F23" s="74">
        <f t="shared" si="4"/>
        <v>1028.926196375</v>
      </c>
      <c r="G23" s="74">
        <f t="shared" si="1"/>
        <v>335.42994001825002</v>
      </c>
      <c r="I23" s="222" t="s">
        <v>67</v>
      </c>
      <c r="J23" s="222"/>
      <c r="K23" s="223"/>
      <c r="L23" s="242">
        <v>0</v>
      </c>
      <c r="M23" s="8"/>
      <c r="N23" s="8"/>
    </row>
    <row r="24" spans="1:14" ht="15" customHeight="1" thickBot="1" x14ac:dyDescent="0.25">
      <c r="A24" s="38">
        <v>20</v>
      </c>
      <c r="B24" s="74">
        <f t="shared" si="2"/>
        <v>753.79225416666679</v>
      </c>
      <c r="C24" s="75">
        <f t="shared" si="0"/>
        <v>760.98214285714278</v>
      </c>
      <c r="D24" s="74">
        <f t="shared" si="3"/>
        <v>248.08017857142855</v>
      </c>
      <c r="E24" s="38">
        <v>20</v>
      </c>
      <c r="F24" s="74">
        <f t="shared" si="4"/>
        <v>979.92971083333327</v>
      </c>
      <c r="G24" s="74">
        <f t="shared" si="1"/>
        <v>319.45708573166667</v>
      </c>
      <c r="I24" s="222"/>
      <c r="J24" s="222"/>
      <c r="K24" s="223"/>
      <c r="L24" s="243"/>
      <c r="M24" s="8"/>
      <c r="N24" s="8"/>
    </row>
    <row r="25" spans="1:14" ht="15" customHeight="1" thickBot="1" x14ac:dyDescent="0.25">
      <c r="A25" s="38">
        <v>19</v>
      </c>
      <c r="B25" s="74">
        <f t="shared" si="2"/>
        <v>716.10264145833344</v>
      </c>
      <c r="C25" s="75">
        <f t="shared" si="0"/>
        <v>722.93303571428589</v>
      </c>
      <c r="D25" s="74">
        <f t="shared" si="3"/>
        <v>235.67616964285722</v>
      </c>
      <c r="E25" s="38">
        <v>19</v>
      </c>
      <c r="F25" s="74">
        <f t="shared" si="4"/>
        <v>930.93322529166653</v>
      </c>
      <c r="G25" s="74">
        <f t="shared" si="1"/>
        <v>303.48423144508331</v>
      </c>
      <c r="I25" s="35"/>
      <c r="J25" s="19"/>
      <c r="K25" s="8"/>
      <c r="L25" s="111"/>
      <c r="M25" s="8"/>
      <c r="N25" s="8"/>
    </row>
    <row r="26" spans="1:14" ht="15" customHeight="1" x14ac:dyDescent="0.2">
      <c r="A26" s="38">
        <v>18</v>
      </c>
      <c r="B26" s="74">
        <f t="shared" si="2"/>
        <v>678.41302875000008</v>
      </c>
      <c r="C26" s="75">
        <f t="shared" si="0"/>
        <v>684.88392857142856</v>
      </c>
      <c r="D26" s="74">
        <f t="shared" si="3"/>
        <v>223.27216071428572</v>
      </c>
      <c r="E26" s="38">
        <v>18</v>
      </c>
      <c r="F26" s="74">
        <f t="shared" si="4"/>
        <v>881.93673975000002</v>
      </c>
      <c r="G26" s="74">
        <f t="shared" si="1"/>
        <v>287.51137715850001</v>
      </c>
      <c r="I26" s="222" t="s">
        <v>72</v>
      </c>
      <c r="J26" s="222"/>
      <c r="K26" s="223"/>
      <c r="L26" s="220">
        <v>0</v>
      </c>
      <c r="M26" s="8"/>
      <c r="N26" s="8"/>
    </row>
    <row r="27" spans="1:14" ht="15" customHeight="1" thickBot="1" x14ac:dyDescent="0.25">
      <c r="A27" s="38">
        <v>17</v>
      </c>
      <c r="B27" s="74">
        <f t="shared" si="2"/>
        <v>640.72341604166672</v>
      </c>
      <c r="C27" s="75">
        <f t="shared" si="0"/>
        <v>646.83482142857144</v>
      </c>
      <c r="D27" s="74">
        <f t="shared" si="3"/>
        <v>210.8681517857143</v>
      </c>
      <c r="E27" s="38">
        <v>17</v>
      </c>
      <c r="F27" s="74">
        <f t="shared" si="4"/>
        <v>832.94025420833327</v>
      </c>
      <c r="G27" s="74">
        <f t="shared" si="1"/>
        <v>271.53852287191665</v>
      </c>
      <c r="I27" s="222"/>
      <c r="J27" s="222"/>
      <c r="K27" s="223"/>
      <c r="L27" s="221"/>
      <c r="M27" s="8"/>
      <c r="N27" s="8"/>
    </row>
    <row r="28" spans="1:14" ht="15" customHeight="1" thickBot="1" x14ac:dyDescent="0.25">
      <c r="A28" s="38">
        <v>16</v>
      </c>
      <c r="B28" s="74">
        <f t="shared" si="2"/>
        <v>603.03380333333348</v>
      </c>
      <c r="C28" s="75">
        <f t="shared" si="0"/>
        <v>608.78571428571422</v>
      </c>
      <c r="D28" s="74">
        <f t="shared" si="3"/>
        <v>198.46414285714283</v>
      </c>
      <c r="E28" s="38">
        <v>16</v>
      </c>
      <c r="F28" s="74">
        <f t="shared" si="4"/>
        <v>783.94376866666664</v>
      </c>
      <c r="G28" s="74">
        <f t="shared" si="1"/>
        <v>255.56566858533333</v>
      </c>
      <c r="I28" s="35"/>
      <c r="J28" s="19"/>
      <c r="K28" s="8"/>
      <c r="L28" s="111"/>
      <c r="M28" s="8"/>
      <c r="N28" s="8"/>
    </row>
    <row r="29" spans="1:14" ht="15" customHeight="1" x14ac:dyDescent="0.2">
      <c r="A29" s="38">
        <v>15</v>
      </c>
      <c r="B29" s="74">
        <f t="shared" si="2"/>
        <v>565.34419062500012</v>
      </c>
      <c r="C29" s="75">
        <f t="shared" si="0"/>
        <v>570.73660714285722</v>
      </c>
      <c r="D29" s="74">
        <f t="shared" si="3"/>
        <v>186.06013392857147</v>
      </c>
      <c r="E29" s="38">
        <v>15</v>
      </c>
      <c r="F29" s="74">
        <f t="shared" si="4"/>
        <v>734.9472831249999</v>
      </c>
      <c r="G29" s="74">
        <f t="shared" si="1"/>
        <v>239.59281429874997</v>
      </c>
      <c r="I29" s="224" t="s">
        <v>68</v>
      </c>
      <c r="J29" s="225"/>
      <c r="K29" s="225"/>
      <c r="L29" s="226"/>
      <c r="M29" s="8"/>
      <c r="N29" s="8"/>
    </row>
    <row r="30" spans="1:14" ht="15" customHeight="1" thickBot="1" x14ac:dyDescent="0.25">
      <c r="A30" s="38">
        <v>14</v>
      </c>
      <c r="B30" s="74">
        <f t="shared" si="2"/>
        <v>527.65457791666677</v>
      </c>
      <c r="C30" s="75">
        <f t="shared" si="0"/>
        <v>532.6875</v>
      </c>
      <c r="D30" s="74">
        <f t="shared" si="3"/>
        <v>173.656125</v>
      </c>
      <c r="E30" s="38">
        <v>14</v>
      </c>
      <c r="F30" s="74">
        <f t="shared" si="4"/>
        <v>685.95079758333327</v>
      </c>
      <c r="G30" s="74">
        <f t="shared" si="1"/>
        <v>223.61996001216664</v>
      </c>
      <c r="I30" s="227"/>
      <c r="J30" s="228"/>
      <c r="K30" s="228"/>
      <c r="L30" s="229"/>
      <c r="M30" s="8"/>
      <c r="N30" s="8"/>
    </row>
    <row r="31" spans="1:14" ht="15" customHeight="1" thickBot="1" x14ac:dyDescent="0.25">
      <c r="A31" s="38">
        <v>13</v>
      </c>
      <c r="B31" s="74">
        <f t="shared" si="2"/>
        <v>489.96496520833341</v>
      </c>
      <c r="C31" s="75">
        <f t="shared" si="0"/>
        <v>494.63839285714295</v>
      </c>
      <c r="D31" s="74">
        <f t="shared" si="3"/>
        <v>161.25211607142862</v>
      </c>
      <c r="E31" s="38">
        <v>13</v>
      </c>
      <c r="F31" s="74">
        <f t="shared" si="4"/>
        <v>636.95431204166664</v>
      </c>
      <c r="G31" s="74">
        <f t="shared" si="1"/>
        <v>207.64710572558334</v>
      </c>
      <c r="I31" s="134" t="s">
        <v>73</v>
      </c>
      <c r="J31" s="132" t="s">
        <v>57</v>
      </c>
      <c r="K31" s="130" t="s">
        <v>74</v>
      </c>
      <c r="L31" s="115" t="s">
        <v>59</v>
      </c>
      <c r="M31" s="8"/>
      <c r="N31" s="8"/>
    </row>
    <row r="32" spans="1:14" ht="15" customHeight="1" x14ac:dyDescent="0.2">
      <c r="A32" s="38">
        <v>12</v>
      </c>
      <c r="B32" s="74">
        <f t="shared" si="2"/>
        <v>452.27535250000011</v>
      </c>
      <c r="C32" s="75">
        <f t="shared" si="0"/>
        <v>456.58928571428578</v>
      </c>
      <c r="D32" s="74">
        <f t="shared" si="3"/>
        <v>148.84810714285717</v>
      </c>
      <c r="E32" s="38">
        <v>12</v>
      </c>
      <c r="F32" s="74">
        <f t="shared" si="4"/>
        <v>587.95782650000001</v>
      </c>
      <c r="G32" s="74">
        <f t="shared" si="1"/>
        <v>191.67425143900002</v>
      </c>
      <c r="I32" s="249">
        <f>((L23/40*7.5*5)/7)*30*$C$46</f>
        <v>0</v>
      </c>
      <c r="J32" s="251">
        <f>IF(L26&lt;I32,I32,L26)</f>
        <v>0</v>
      </c>
      <c r="K32" s="253">
        <v>32.6</v>
      </c>
      <c r="L32" s="236">
        <f>J32*K32%</f>
        <v>0</v>
      </c>
      <c r="M32" s="8"/>
      <c r="N32" s="8"/>
    </row>
    <row r="33" spans="1:14" ht="15" customHeight="1" thickBot="1" x14ac:dyDescent="0.25">
      <c r="A33" s="38">
        <v>11</v>
      </c>
      <c r="B33" s="74">
        <f t="shared" si="2"/>
        <v>414.58573979166675</v>
      </c>
      <c r="C33" s="75">
        <f t="shared" si="0"/>
        <v>418.54017857142867</v>
      </c>
      <c r="D33" s="74">
        <f t="shared" si="3"/>
        <v>136.44409821428576</v>
      </c>
      <c r="E33" s="38">
        <v>11</v>
      </c>
      <c r="F33" s="74">
        <f t="shared" si="4"/>
        <v>538.96134095833327</v>
      </c>
      <c r="G33" s="74">
        <f t="shared" si="1"/>
        <v>175.70139715241666</v>
      </c>
      <c r="I33" s="250"/>
      <c r="J33" s="252"/>
      <c r="K33" s="254"/>
      <c r="L33" s="255"/>
      <c r="M33" s="8"/>
      <c r="N33" s="8"/>
    </row>
    <row r="34" spans="1:14" ht="15" customHeight="1" thickBot="1" x14ac:dyDescent="0.25">
      <c r="A34" s="38">
        <v>10</v>
      </c>
      <c r="B34" s="74">
        <f t="shared" si="2"/>
        <v>376.8961270833334</v>
      </c>
      <c r="C34" s="75">
        <f t="shared" si="0"/>
        <v>380.49107142857139</v>
      </c>
      <c r="D34" s="74">
        <f t="shared" si="3"/>
        <v>124.04008928571427</v>
      </c>
      <c r="E34" s="38">
        <v>10</v>
      </c>
      <c r="F34" s="74">
        <f t="shared" si="4"/>
        <v>489.96485541666664</v>
      </c>
      <c r="G34" s="74">
        <f t="shared" si="1"/>
        <v>159.72854286583333</v>
      </c>
      <c r="I34" s="244" t="s">
        <v>69</v>
      </c>
      <c r="J34" s="245"/>
      <c r="K34" s="246"/>
      <c r="L34" s="126">
        <f>SUM(L32)</f>
        <v>0</v>
      </c>
      <c r="M34" s="8"/>
      <c r="N34" s="8"/>
    </row>
    <row r="35" spans="1:14" ht="15" customHeight="1" x14ac:dyDescent="0.2">
      <c r="A35" s="38">
        <v>9</v>
      </c>
      <c r="B35" s="74">
        <f t="shared" si="2"/>
        <v>339.20651437500004</v>
      </c>
      <c r="C35" s="75">
        <f t="shared" si="0"/>
        <v>342.44196428571428</v>
      </c>
      <c r="D35" s="74">
        <f t="shared" si="3"/>
        <v>111.63608035714286</v>
      </c>
      <c r="E35" s="38">
        <v>9</v>
      </c>
      <c r="F35" s="74">
        <f t="shared" si="4"/>
        <v>440.96836987500001</v>
      </c>
      <c r="G35" s="74">
        <f t="shared" si="1"/>
        <v>143.75568857925001</v>
      </c>
      <c r="I35" s="35"/>
      <c r="J35" s="19"/>
      <c r="K35" s="8"/>
      <c r="L35" s="111"/>
      <c r="M35" s="8"/>
      <c r="N35" s="133"/>
    </row>
    <row r="36" spans="1:14" ht="15" customHeight="1" x14ac:dyDescent="0.2">
      <c r="A36" s="38">
        <v>8</v>
      </c>
      <c r="B36" s="74">
        <f t="shared" si="2"/>
        <v>301.51690166666674</v>
      </c>
      <c r="C36" s="75">
        <f t="shared" si="0"/>
        <v>304.39285714285711</v>
      </c>
      <c r="D36" s="74">
        <f t="shared" si="3"/>
        <v>99.232071428571416</v>
      </c>
      <c r="E36" s="38">
        <v>8</v>
      </c>
      <c r="F36" s="74">
        <f t="shared" si="4"/>
        <v>391.97188433333332</v>
      </c>
      <c r="G36" s="74">
        <f t="shared" si="1"/>
        <v>127.78283429266666</v>
      </c>
      <c r="I36" s="247" t="s">
        <v>71</v>
      </c>
      <c r="J36" s="247"/>
      <c r="K36" s="247"/>
      <c r="L36" s="247"/>
      <c r="M36" s="248" t="s">
        <v>70</v>
      </c>
      <c r="N36" s="133"/>
    </row>
    <row r="37" spans="1:14" ht="15" customHeight="1" x14ac:dyDescent="0.2">
      <c r="A37" s="38">
        <v>7</v>
      </c>
      <c r="B37" s="74">
        <f t="shared" si="2"/>
        <v>263.82728895833338</v>
      </c>
      <c r="C37" s="75">
        <f t="shared" si="0"/>
        <v>266.34375</v>
      </c>
      <c r="D37" s="74">
        <f t="shared" si="3"/>
        <v>86.828062500000001</v>
      </c>
      <c r="E37" s="38">
        <v>7</v>
      </c>
      <c r="F37" s="74">
        <f t="shared" si="4"/>
        <v>342.97539879166663</v>
      </c>
      <c r="G37" s="74">
        <f t="shared" si="1"/>
        <v>111.80998000608332</v>
      </c>
      <c r="I37" s="247"/>
      <c r="J37" s="247"/>
      <c r="K37" s="247"/>
      <c r="L37" s="247"/>
      <c r="M37" s="248"/>
      <c r="N37" s="133"/>
    </row>
    <row r="38" spans="1:14" ht="15" customHeight="1" x14ac:dyDescent="0.2">
      <c r="A38" s="38">
        <v>6</v>
      </c>
      <c r="B38" s="74">
        <f t="shared" si="2"/>
        <v>226.13767625000006</v>
      </c>
      <c r="C38" s="75">
        <f t="shared" si="0"/>
        <v>228.29464285714289</v>
      </c>
      <c r="D38" s="74">
        <f t="shared" si="3"/>
        <v>74.424053571428587</v>
      </c>
      <c r="E38" s="38">
        <v>6</v>
      </c>
      <c r="F38" s="74">
        <f t="shared" si="4"/>
        <v>293.97891325000001</v>
      </c>
      <c r="G38" s="74">
        <f t="shared" si="1"/>
        <v>95.837125719500008</v>
      </c>
      <c r="I38" s="5"/>
    </row>
    <row r="39" spans="1:14" ht="15" customHeight="1" x14ac:dyDescent="0.2">
      <c r="A39" s="38">
        <v>5</v>
      </c>
      <c r="B39" s="74">
        <f t="shared" si="2"/>
        <v>188.4480635416667</v>
      </c>
      <c r="C39" s="75">
        <f t="shared" si="0"/>
        <v>190.24553571428569</v>
      </c>
      <c r="D39" s="74">
        <f t="shared" si="3"/>
        <v>62.020044642857137</v>
      </c>
      <c r="E39" s="38">
        <v>5</v>
      </c>
      <c r="F39" s="74">
        <f t="shared" si="4"/>
        <v>244.98242770833332</v>
      </c>
      <c r="G39" s="74">
        <f t="shared" si="1"/>
        <v>79.864271432916667</v>
      </c>
      <c r="I39" s="5"/>
    </row>
    <row r="40" spans="1:14" ht="15" customHeight="1" x14ac:dyDescent="0.2">
      <c r="A40" s="38">
        <v>4</v>
      </c>
      <c r="B40" s="74">
        <f t="shared" si="2"/>
        <v>150.75845083333337</v>
      </c>
      <c r="C40" s="75">
        <f t="shared" si="0"/>
        <v>152.19642857142856</v>
      </c>
      <c r="D40" s="74">
        <f t="shared" si="3"/>
        <v>49.616035714285708</v>
      </c>
      <c r="E40" s="38">
        <v>4</v>
      </c>
      <c r="F40" s="74">
        <f t="shared" si="4"/>
        <v>195.98594216666666</v>
      </c>
      <c r="G40" s="74">
        <f t="shared" si="1"/>
        <v>63.891417146333332</v>
      </c>
      <c r="I40" s="5"/>
    </row>
    <row r="41" spans="1:14" ht="15" customHeight="1" x14ac:dyDescent="0.2">
      <c r="A41" s="38">
        <v>3</v>
      </c>
      <c r="B41" s="74">
        <f t="shared" si="2"/>
        <v>113.06883812500003</v>
      </c>
      <c r="C41" s="75">
        <f t="shared" si="0"/>
        <v>114.14732142857144</v>
      </c>
      <c r="D41" s="74">
        <f t="shared" si="3"/>
        <v>37.212026785714293</v>
      </c>
      <c r="E41" s="38">
        <v>3</v>
      </c>
      <c r="F41" s="74">
        <f t="shared" si="4"/>
        <v>146.989456625</v>
      </c>
      <c r="G41" s="74">
        <f t="shared" si="1"/>
        <v>47.918562859750004</v>
      </c>
      <c r="I41" s="5"/>
    </row>
    <row r="42" spans="1:14" ht="15" customHeight="1" x14ac:dyDescent="0.2">
      <c r="A42" s="38">
        <v>2</v>
      </c>
      <c r="B42" s="74">
        <f t="shared" si="2"/>
        <v>75.379225416666685</v>
      </c>
      <c r="C42" s="75">
        <f t="shared" si="0"/>
        <v>76.098214285714278</v>
      </c>
      <c r="D42" s="74">
        <f t="shared" si="3"/>
        <v>24.808017857142854</v>
      </c>
      <c r="E42" s="38">
        <v>2</v>
      </c>
      <c r="F42" s="74">
        <f t="shared" si="4"/>
        <v>97.99297108333333</v>
      </c>
      <c r="G42" s="74">
        <f t="shared" si="1"/>
        <v>31.945708573166666</v>
      </c>
      <c r="I42" s="5"/>
    </row>
    <row r="43" spans="1:14" ht="15" customHeight="1" x14ac:dyDescent="0.2">
      <c r="A43" s="39">
        <v>1</v>
      </c>
      <c r="B43" s="76">
        <f t="shared" si="2"/>
        <v>37.689612708333343</v>
      </c>
      <c r="C43" s="77">
        <f t="shared" si="0"/>
        <v>38.049107142857139</v>
      </c>
      <c r="D43" s="76">
        <f t="shared" si="3"/>
        <v>12.404008928571427</v>
      </c>
      <c r="E43" s="39">
        <v>1</v>
      </c>
      <c r="F43" s="76">
        <f t="shared" si="4"/>
        <v>48.996485541666665</v>
      </c>
      <c r="G43" s="76">
        <f t="shared" si="1"/>
        <v>15.972854286583333</v>
      </c>
      <c r="I43" s="5"/>
    </row>
    <row r="45" spans="1:14" x14ac:dyDescent="0.2">
      <c r="C45" s="198" t="s">
        <v>99</v>
      </c>
    </row>
    <row r="46" spans="1:14" s="21" customFormat="1" ht="32.25" hidden="1" customHeight="1" thickBot="1" x14ac:dyDescent="0.25">
      <c r="A46" s="189"/>
      <c r="B46" s="207" t="s">
        <v>14</v>
      </c>
      <c r="C46" s="208">
        <v>9.4700000000000006</v>
      </c>
      <c r="D46" s="189"/>
      <c r="E46" s="191"/>
      <c r="F46" s="189"/>
      <c r="G46" s="189"/>
      <c r="I46" s="192"/>
    </row>
  </sheetData>
  <sheetProtection algorithmName="SHA-512" hashValue="J+n+lE8E0Fgg8LSQ7Er8i8HeELJXepuQC/o5/HXoTPt6pA4O5U4cp+aQSWUeVwY8+pQD6gKOjEPimqHKXqsdGg==" saltValue="rhJLE7BDYHUqgdKuVt2nDQ==" spinCount="100000" sheet="1" objects="1" scenarios="1"/>
  <protectedRanges>
    <protectedRange sqref="M36" name="CALCULO RC"/>
    <protectedRange sqref="L8" name="RET TC"/>
    <protectedRange sqref="L23" name="DED"/>
    <protectedRange sqref="L26" name="RET TP"/>
  </protectedRanges>
  <mergeCells count="35">
    <mergeCell ref="B2:D2"/>
    <mergeCell ref="F2:G2"/>
    <mergeCell ref="A1:G1"/>
    <mergeCell ref="I2:K2"/>
    <mergeCell ref="L2:M2"/>
    <mergeCell ref="I4:I5"/>
    <mergeCell ref="J4:J5"/>
    <mergeCell ref="K4:K5"/>
    <mergeCell ref="L4:L5"/>
    <mergeCell ref="M4:M5"/>
    <mergeCell ref="I8:K9"/>
    <mergeCell ref="L8:L9"/>
    <mergeCell ref="I11:L12"/>
    <mergeCell ref="I14:I15"/>
    <mergeCell ref="J14:J15"/>
    <mergeCell ref="K14:K15"/>
    <mergeCell ref="L14:L15"/>
    <mergeCell ref="I16:I17"/>
    <mergeCell ref="J16:J17"/>
    <mergeCell ref="K16:K17"/>
    <mergeCell ref="L16:L17"/>
    <mergeCell ref="I18:J18"/>
    <mergeCell ref="I20:N21"/>
    <mergeCell ref="I23:K24"/>
    <mergeCell ref="L23:L24"/>
    <mergeCell ref="I26:K27"/>
    <mergeCell ref="L26:L27"/>
    <mergeCell ref="I34:K34"/>
    <mergeCell ref="I36:L37"/>
    <mergeCell ref="M36:M37"/>
    <mergeCell ref="I29:L30"/>
    <mergeCell ref="I32:I33"/>
    <mergeCell ref="J32:J33"/>
    <mergeCell ref="K32:K33"/>
    <mergeCell ref="L32:L33"/>
  </mergeCells>
  <hyperlinks>
    <hyperlink ref="M36:M37" r:id="rId1" display="CALCULO RC"/>
  </hyperlinks>
  <pageMargins left="0.94488188976377963" right="0.94488188976377963" top="0" bottom="0.39370078740157483" header="0" footer="0"/>
  <pageSetup paperSize="9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selection activeCell="G24" sqref="G24"/>
    </sheetView>
  </sheetViews>
  <sheetFormatPr baseColWidth="10" defaultColWidth="11.5703125" defaultRowHeight="14.25" x14ac:dyDescent="0.2"/>
  <cols>
    <col min="1" max="1" width="18.42578125" style="4" customWidth="1"/>
    <col min="2" max="2" width="24.85546875" style="69" customWidth="1"/>
    <col min="3" max="3" width="16.7109375" style="70" hidden="1" customWidth="1"/>
    <col min="4" max="4" width="18.42578125" style="69" customWidth="1"/>
    <col min="5" max="5" width="18.42578125" style="5" customWidth="1"/>
    <col min="6" max="6" width="24.85546875" style="69" customWidth="1"/>
    <col min="7" max="7" width="18.42578125" style="69" customWidth="1"/>
    <col min="8" max="8" width="11.5703125" style="5"/>
    <col min="9" max="9" width="20.7109375" style="7" customWidth="1"/>
    <col min="10" max="10" width="19.7109375" style="5" customWidth="1"/>
    <col min="11" max="11" width="20.5703125" style="5" customWidth="1"/>
    <col min="12" max="12" width="17.28515625" style="5" customWidth="1"/>
    <col min="13" max="13" width="15.5703125" style="5" customWidth="1"/>
    <col min="14" max="16384" width="11.5703125" style="5"/>
  </cols>
  <sheetData>
    <row r="1" spans="1:14" s="8" customFormat="1" ht="65.25" customHeight="1" x14ac:dyDescent="0.2">
      <c r="A1" s="210" t="s">
        <v>106</v>
      </c>
      <c r="B1" s="211"/>
      <c r="C1" s="211"/>
      <c r="D1" s="211"/>
      <c r="E1" s="211"/>
      <c r="F1" s="211"/>
      <c r="G1" s="211"/>
      <c r="K1" s="19"/>
    </row>
    <row r="2" spans="1:14" s="36" customFormat="1" ht="24.75" customHeight="1" x14ac:dyDescent="0.2">
      <c r="A2" s="44"/>
      <c r="B2" s="284" t="s">
        <v>47</v>
      </c>
      <c r="C2" s="284"/>
      <c r="D2" s="285"/>
      <c r="E2" s="42"/>
      <c r="F2" s="284" t="s">
        <v>48</v>
      </c>
      <c r="G2" s="285"/>
      <c r="I2" s="212" t="s">
        <v>52</v>
      </c>
      <c r="J2" s="212"/>
      <c r="K2" s="212"/>
      <c r="L2" s="212" t="s">
        <v>56</v>
      </c>
      <c r="M2" s="212"/>
    </row>
    <row r="3" spans="1:14" s="27" customFormat="1" ht="38.25" x14ac:dyDescent="0.2">
      <c r="A3" s="43" t="s">
        <v>45</v>
      </c>
      <c r="B3" s="66" t="s">
        <v>46</v>
      </c>
      <c r="C3" s="67" t="s">
        <v>96</v>
      </c>
      <c r="D3" s="68" t="s">
        <v>49</v>
      </c>
      <c r="E3" s="40" t="s">
        <v>45</v>
      </c>
      <c r="F3" s="66" t="s">
        <v>46</v>
      </c>
      <c r="G3" s="68" t="s">
        <v>50</v>
      </c>
      <c r="I3" s="120" t="s">
        <v>51</v>
      </c>
      <c r="J3" s="120" t="s">
        <v>62</v>
      </c>
      <c r="K3" s="120" t="s">
        <v>63</v>
      </c>
      <c r="L3" s="121" t="s">
        <v>54</v>
      </c>
      <c r="M3" s="120" t="s">
        <v>55</v>
      </c>
    </row>
    <row r="4" spans="1:14" ht="15" customHeight="1" x14ac:dyDescent="0.2">
      <c r="A4" s="37">
        <v>40</v>
      </c>
      <c r="B4" s="72">
        <f>PARAMETROS!B7</f>
        <v>1413.3613</v>
      </c>
      <c r="C4" s="73"/>
      <c r="D4" s="72"/>
      <c r="E4" s="37">
        <v>40</v>
      </c>
      <c r="F4" s="72">
        <f>PARAMETROS!C7</f>
        <v>1837.3688116666667</v>
      </c>
      <c r="G4" s="72">
        <f>IF(F4&gt;$K$4,$K$4*$K$18%,F4*$K$18%)</f>
        <v>598.98223260333339</v>
      </c>
      <c r="I4" s="213">
        <v>2</v>
      </c>
      <c r="J4" s="282">
        <v>1303.8</v>
      </c>
      <c r="K4" s="282">
        <v>4139.3999999999996</v>
      </c>
      <c r="L4" s="283">
        <v>1125.9000000000001</v>
      </c>
      <c r="M4" s="283">
        <v>4139.3999999999996</v>
      </c>
      <c r="N4" s="8"/>
    </row>
    <row r="5" spans="1:14" x14ac:dyDescent="0.2">
      <c r="A5" s="38">
        <v>39</v>
      </c>
      <c r="B5" s="74">
        <f>PRODUCT(B$4,A5)/A$4</f>
        <v>1378.0272675000001</v>
      </c>
      <c r="C5" s="75">
        <f>(A5/$A$4*7.5*5)/7*30*$C$46</f>
        <v>1230.066964285714</v>
      </c>
      <c r="D5" s="74">
        <f>IF(B5&lt;C5,C5*$K$18%,B5*$K$18%)</f>
        <v>449.23688920500007</v>
      </c>
      <c r="E5" s="38">
        <v>39</v>
      </c>
      <c r="F5" s="74">
        <f>PRODUCT(F$4,E5)/E$4</f>
        <v>1791.4345913749999</v>
      </c>
      <c r="G5" s="74">
        <f t="shared" ref="G5:G43" si="0">IF(F5&gt;$K$4,$K$4*$K$18%,F5*$K$18%)</f>
        <v>584.00767678825002</v>
      </c>
      <c r="I5" s="213"/>
      <c r="J5" s="282"/>
      <c r="K5" s="282"/>
      <c r="L5" s="283"/>
      <c r="M5" s="283"/>
      <c r="N5" s="8"/>
    </row>
    <row r="6" spans="1:14" x14ac:dyDescent="0.2">
      <c r="A6" s="38">
        <v>38</v>
      </c>
      <c r="B6" s="74">
        <f t="shared" ref="B6:B43" si="1">PRODUCT(B$4,A6)/A$4</f>
        <v>1342.6932350000002</v>
      </c>
      <c r="C6" s="75">
        <f t="shared" ref="C6:C43" si="2">(A6/$A$4*7.5*5)/7*30*$C$46</f>
        <v>1198.5267857142858</v>
      </c>
      <c r="D6" s="74">
        <f t="shared" ref="D6:D43" si="3">IF(B6&lt;C6,C6*$K$18%,B6*$K$18%)</f>
        <v>437.71799461000006</v>
      </c>
      <c r="E6" s="38">
        <v>38</v>
      </c>
      <c r="F6" s="74">
        <f t="shared" ref="F6:F43" si="4">PRODUCT(F$4,E6)/E$4</f>
        <v>1745.5003710833334</v>
      </c>
      <c r="G6" s="74">
        <f t="shared" si="0"/>
        <v>569.03312097316677</v>
      </c>
      <c r="I6" s="35"/>
      <c r="J6" s="8"/>
      <c r="K6" s="8"/>
      <c r="L6" s="111"/>
      <c r="M6" s="8"/>
      <c r="N6" s="8"/>
    </row>
    <row r="7" spans="1:14" ht="15" thickBot="1" x14ac:dyDescent="0.25">
      <c r="A7" s="38">
        <v>37</v>
      </c>
      <c r="B7" s="74">
        <f t="shared" si="1"/>
        <v>1307.3592025</v>
      </c>
      <c r="C7" s="75">
        <f t="shared" si="2"/>
        <v>1166.9866071428573</v>
      </c>
      <c r="D7" s="74">
        <f t="shared" si="3"/>
        <v>426.19910001500006</v>
      </c>
      <c r="E7" s="38">
        <v>37</v>
      </c>
      <c r="F7" s="74">
        <f t="shared" si="4"/>
        <v>1699.5661507916666</v>
      </c>
      <c r="G7" s="74">
        <f t="shared" si="0"/>
        <v>554.0585651580833</v>
      </c>
      <c r="I7" s="35"/>
      <c r="J7" s="19"/>
      <c r="K7" s="8"/>
      <c r="L7" s="111"/>
      <c r="M7" s="8"/>
      <c r="N7" s="8"/>
    </row>
    <row r="8" spans="1:14" x14ac:dyDescent="0.2">
      <c r="A8" s="38">
        <v>36</v>
      </c>
      <c r="B8" s="74">
        <f t="shared" si="1"/>
        <v>1272.0251700000001</v>
      </c>
      <c r="C8" s="75">
        <f t="shared" si="2"/>
        <v>1135.4464285714284</v>
      </c>
      <c r="D8" s="74">
        <f t="shared" si="3"/>
        <v>414.68020542000005</v>
      </c>
      <c r="E8" s="38">
        <v>36</v>
      </c>
      <c r="F8" s="74">
        <f t="shared" si="4"/>
        <v>1653.6319305000002</v>
      </c>
      <c r="G8" s="74">
        <f t="shared" si="0"/>
        <v>539.08400934300005</v>
      </c>
      <c r="I8" s="222" t="s">
        <v>66</v>
      </c>
      <c r="J8" s="222"/>
      <c r="K8" s="223"/>
      <c r="L8" s="220">
        <v>0</v>
      </c>
      <c r="M8" s="8"/>
      <c r="N8" s="8"/>
    </row>
    <row r="9" spans="1:14" ht="15" thickBot="1" x14ac:dyDescent="0.25">
      <c r="A9" s="38">
        <v>35</v>
      </c>
      <c r="B9" s="74">
        <f t="shared" si="1"/>
        <v>1236.6911375</v>
      </c>
      <c r="C9" s="75">
        <f t="shared" si="2"/>
        <v>1103.90625</v>
      </c>
      <c r="D9" s="74">
        <f t="shared" si="3"/>
        <v>403.16131082499999</v>
      </c>
      <c r="E9" s="38">
        <v>35</v>
      </c>
      <c r="F9" s="74">
        <f t="shared" si="4"/>
        <v>1607.6977102083333</v>
      </c>
      <c r="G9" s="74">
        <f t="shared" si="0"/>
        <v>524.10945352791668</v>
      </c>
      <c r="I9" s="222"/>
      <c r="J9" s="222"/>
      <c r="K9" s="223"/>
      <c r="L9" s="221"/>
      <c r="M9" s="8"/>
      <c r="N9" s="8"/>
    </row>
    <row r="10" spans="1:14" ht="15" thickBot="1" x14ac:dyDescent="0.25">
      <c r="A10" s="38">
        <v>34</v>
      </c>
      <c r="B10" s="74">
        <f t="shared" si="1"/>
        <v>1201.357105</v>
      </c>
      <c r="C10" s="75">
        <f t="shared" si="2"/>
        <v>1072.3660714285713</v>
      </c>
      <c r="D10" s="74">
        <f t="shared" si="3"/>
        <v>391.64241623000004</v>
      </c>
      <c r="E10" s="38">
        <v>34</v>
      </c>
      <c r="F10" s="74">
        <f t="shared" si="4"/>
        <v>1561.7634899166667</v>
      </c>
      <c r="G10" s="74">
        <f t="shared" si="0"/>
        <v>509.13489771283338</v>
      </c>
      <c r="I10" s="116"/>
      <c r="J10" s="117"/>
      <c r="K10" s="118"/>
      <c r="L10" s="119"/>
      <c r="M10" s="8"/>
      <c r="N10" s="8"/>
    </row>
    <row r="11" spans="1:14" x14ac:dyDescent="0.2">
      <c r="A11" s="38">
        <v>33</v>
      </c>
      <c r="B11" s="74">
        <f t="shared" si="1"/>
        <v>1166.0230724999999</v>
      </c>
      <c r="C11" s="75">
        <f t="shared" si="2"/>
        <v>1040.8258928571427</v>
      </c>
      <c r="D11" s="74">
        <f t="shared" si="3"/>
        <v>380.12352163499997</v>
      </c>
      <c r="E11" s="38">
        <v>33</v>
      </c>
      <c r="F11" s="74">
        <f t="shared" si="4"/>
        <v>1515.8292696250001</v>
      </c>
      <c r="G11" s="74">
        <f t="shared" si="0"/>
        <v>494.16034189775002</v>
      </c>
      <c r="I11" s="224" t="s">
        <v>64</v>
      </c>
      <c r="J11" s="225"/>
      <c r="K11" s="225"/>
      <c r="L11" s="226"/>
      <c r="M11" s="8"/>
      <c r="N11" s="8"/>
    </row>
    <row r="12" spans="1:14" ht="15" thickBot="1" x14ac:dyDescent="0.25">
      <c r="A12" s="38">
        <v>32</v>
      </c>
      <c r="B12" s="74">
        <f t="shared" si="1"/>
        <v>1130.68904</v>
      </c>
      <c r="C12" s="75">
        <f t="shared" si="2"/>
        <v>1009.2857142857141</v>
      </c>
      <c r="D12" s="74">
        <f t="shared" si="3"/>
        <v>368.60462704000003</v>
      </c>
      <c r="E12" s="38">
        <v>32</v>
      </c>
      <c r="F12" s="74">
        <f t="shared" si="4"/>
        <v>1469.8950493333334</v>
      </c>
      <c r="G12" s="74">
        <f t="shared" si="0"/>
        <v>479.18578608266671</v>
      </c>
      <c r="I12" s="227"/>
      <c r="J12" s="228"/>
      <c r="K12" s="228"/>
      <c r="L12" s="229"/>
      <c r="M12" s="8"/>
      <c r="N12" s="8"/>
    </row>
    <row r="13" spans="1:14" ht="15" thickBot="1" x14ac:dyDescent="0.25">
      <c r="A13" s="38">
        <v>31</v>
      </c>
      <c r="B13" s="74">
        <f t="shared" si="1"/>
        <v>1095.3550075000001</v>
      </c>
      <c r="C13" s="75">
        <f t="shared" si="2"/>
        <v>977.74553571428567</v>
      </c>
      <c r="D13" s="74">
        <f t="shared" si="3"/>
        <v>357.08573244500002</v>
      </c>
      <c r="E13" s="38">
        <v>31</v>
      </c>
      <c r="F13" s="74">
        <f t="shared" si="4"/>
        <v>1423.9608290416668</v>
      </c>
      <c r="G13" s="74">
        <f t="shared" si="0"/>
        <v>464.2112302675834</v>
      </c>
      <c r="I13" s="113"/>
      <c r="J13" s="114" t="s">
        <v>57</v>
      </c>
      <c r="K13" s="130" t="s">
        <v>58</v>
      </c>
      <c r="L13" s="115" t="s">
        <v>59</v>
      </c>
      <c r="M13" s="8"/>
      <c r="N13" s="8"/>
    </row>
    <row r="14" spans="1:14" x14ac:dyDescent="0.2">
      <c r="A14" s="38">
        <v>30</v>
      </c>
      <c r="B14" s="74">
        <f t="shared" si="1"/>
        <v>1060.0209749999999</v>
      </c>
      <c r="C14" s="75">
        <f t="shared" si="2"/>
        <v>946.20535714285711</v>
      </c>
      <c r="D14" s="74">
        <f t="shared" si="3"/>
        <v>345.56683784999996</v>
      </c>
      <c r="E14" s="38">
        <v>30</v>
      </c>
      <c r="F14" s="74">
        <f t="shared" si="4"/>
        <v>1378.0266087499999</v>
      </c>
      <c r="G14" s="74">
        <f t="shared" si="0"/>
        <v>449.23667445249998</v>
      </c>
      <c r="I14" s="230" t="s">
        <v>60</v>
      </c>
      <c r="J14" s="232">
        <f>IF(L8&gt;=J4,L8,J4)</f>
        <v>1303.8</v>
      </c>
      <c r="K14" s="234">
        <v>23.6</v>
      </c>
      <c r="L14" s="240">
        <f>J14*K14%</f>
        <v>307.6968</v>
      </c>
      <c r="M14" s="8"/>
      <c r="N14" s="8"/>
    </row>
    <row r="15" spans="1:14" ht="15" thickBot="1" x14ac:dyDescent="0.25">
      <c r="A15" s="38">
        <v>29</v>
      </c>
      <c r="B15" s="74">
        <f t="shared" si="1"/>
        <v>1024.6869425</v>
      </c>
      <c r="C15" s="75">
        <f t="shared" si="2"/>
        <v>914.66517857142856</v>
      </c>
      <c r="D15" s="74">
        <f t="shared" si="3"/>
        <v>334.04794325500001</v>
      </c>
      <c r="E15" s="38">
        <v>29</v>
      </c>
      <c r="F15" s="74">
        <f t="shared" si="4"/>
        <v>1332.0923884583333</v>
      </c>
      <c r="G15" s="74">
        <f t="shared" si="0"/>
        <v>434.26211863741668</v>
      </c>
      <c r="I15" s="231"/>
      <c r="J15" s="233"/>
      <c r="K15" s="235"/>
      <c r="L15" s="241"/>
      <c r="M15" s="8"/>
      <c r="N15" s="8"/>
    </row>
    <row r="16" spans="1:14" x14ac:dyDescent="0.2">
      <c r="A16" s="38">
        <v>28</v>
      </c>
      <c r="B16" s="74">
        <f t="shared" si="1"/>
        <v>989.35290999999995</v>
      </c>
      <c r="C16" s="75">
        <f t="shared" si="2"/>
        <v>883.125</v>
      </c>
      <c r="D16" s="74">
        <f t="shared" si="3"/>
        <v>322.52904866</v>
      </c>
      <c r="E16" s="38">
        <v>28</v>
      </c>
      <c r="F16" s="74">
        <f t="shared" si="4"/>
        <v>1286.1581681666667</v>
      </c>
      <c r="G16" s="74">
        <f t="shared" si="0"/>
        <v>419.28756282233337</v>
      </c>
      <c r="I16" s="238" t="s">
        <v>61</v>
      </c>
      <c r="J16" s="232">
        <f>IF(L8&gt;=L4,L8,L4)</f>
        <v>1125.9000000000001</v>
      </c>
      <c r="K16" s="234">
        <v>9</v>
      </c>
      <c r="L16" s="236">
        <f>J16*K16%</f>
        <v>101.331</v>
      </c>
      <c r="M16" s="8"/>
      <c r="N16" s="8"/>
    </row>
    <row r="17" spans="1:14" ht="15" thickBot="1" x14ac:dyDescent="0.25">
      <c r="A17" s="38">
        <v>27</v>
      </c>
      <c r="B17" s="74">
        <f t="shared" si="1"/>
        <v>954.01887750000003</v>
      </c>
      <c r="C17" s="75">
        <f t="shared" si="2"/>
        <v>851.58482142857133</v>
      </c>
      <c r="D17" s="74">
        <f t="shared" si="3"/>
        <v>311.01015406499999</v>
      </c>
      <c r="E17" s="38">
        <v>27</v>
      </c>
      <c r="F17" s="74">
        <f t="shared" si="4"/>
        <v>1240.223947875</v>
      </c>
      <c r="G17" s="74">
        <f t="shared" si="0"/>
        <v>404.31300700725001</v>
      </c>
      <c r="I17" s="239"/>
      <c r="J17" s="233"/>
      <c r="K17" s="235">
        <v>0.2</v>
      </c>
      <c r="L17" s="237"/>
      <c r="M17" s="8"/>
      <c r="N17" s="8"/>
    </row>
    <row r="18" spans="1:14" ht="15" thickBot="1" x14ac:dyDescent="0.25">
      <c r="A18" s="38">
        <v>26</v>
      </c>
      <c r="B18" s="74">
        <f t="shared" si="1"/>
        <v>918.684845</v>
      </c>
      <c r="C18" s="75">
        <f t="shared" si="2"/>
        <v>820.04464285714289</v>
      </c>
      <c r="D18" s="74">
        <f t="shared" si="3"/>
        <v>299.49125946999999</v>
      </c>
      <c r="E18" s="38">
        <v>26</v>
      </c>
      <c r="F18" s="74">
        <f t="shared" si="4"/>
        <v>1194.2897275833334</v>
      </c>
      <c r="G18" s="74">
        <f t="shared" si="0"/>
        <v>389.3384511921667</v>
      </c>
      <c r="I18" s="218" t="s">
        <v>65</v>
      </c>
      <c r="J18" s="219"/>
      <c r="K18" s="131">
        <f>(K14+K16)</f>
        <v>32.6</v>
      </c>
      <c r="L18" s="126">
        <f>SUM(L14:L17)</f>
        <v>409.02780000000001</v>
      </c>
      <c r="M18" s="8"/>
      <c r="N18" s="8"/>
    </row>
    <row r="19" spans="1:14" x14ac:dyDescent="0.2">
      <c r="A19" s="38">
        <v>25</v>
      </c>
      <c r="B19" s="74">
        <f t="shared" si="1"/>
        <v>883.35081250000007</v>
      </c>
      <c r="C19" s="75">
        <f t="shared" si="2"/>
        <v>788.50446428571422</v>
      </c>
      <c r="D19" s="74">
        <f t="shared" si="3"/>
        <v>287.97236487500004</v>
      </c>
      <c r="E19" s="38">
        <v>25</v>
      </c>
      <c r="F19" s="74">
        <f t="shared" si="4"/>
        <v>1148.3555072916665</v>
      </c>
      <c r="G19" s="74">
        <f t="shared" si="0"/>
        <v>374.36389537708328</v>
      </c>
      <c r="I19" s="122"/>
      <c r="J19" s="123"/>
      <c r="K19" s="124"/>
      <c r="L19" s="125"/>
      <c r="M19" s="8"/>
      <c r="N19" s="8"/>
    </row>
    <row r="20" spans="1:14" ht="14.25" customHeight="1" x14ac:dyDescent="0.2">
      <c r="A20" s="38">
        <v>24</v>
      </c>
      <c r="B20" s="74">
        <f t="shared" si="1"/>
        <v>848.01677999999993</v>
      </c>
      <c r="C20" s="75">
        <f t="shared" si="2"/>
        <v>756.96428571428567</v>
      </c>
      <c r="D20" s="74">
        <f t="shared" si="3"/>
        <v>276.45347027999998</v>
      </c>
      <c r="E20" s="38">
        <v>24</v>
      </c>
      <c r="F20" s="74">
        <f t="shared" si="4"/>
        <v>1102.4212869999999</v>
      </c>
      <c r="G20" s="74">
        <f t="shared" si="0"/>
        <v>359.38933956199998</v>
      </c>
      <c r="I20" s="209" t="s">
        <v>82</v>
      </c>
      <c r="J20" s="209"/>
      <c r="K20" s="209"/>
      <c r="L20" s="209"/>
      <c r="M20" s="209"/>
      <c r="N20" s="145"/>
    </row>
    <row r="21" spans="1:14" x14ac:dyDescent="0.2">
      <c r="A21" s="38">
        <v>23</v>
      </c>
      <c r="B21" s="74">
        <f t="shared" si="1"/>
        <v>812.6827475</v>
      </c>
      <c r="C21" s="75">
        <f t="shared" si="2"/>
        <v>725.424107142857</v>
      </c>
      <c r="D21" s="74">
        <f t="shared" si="3"/>
        <v>264.93457568500003</v>
      </c>
      <c r="E21" s="38">
        <v>23</v>
      </c>
      <c r="F21" s="74">
        <f t="shared" si="4"/>
        <v>1056.4870667083335</v>
      </c>
      <c r="G21" s="74">
        <f t="shared" si="0"/>
        <v>344.41478374691673</v>
      </c>
      <c r="I21" s="209"/>
      <c r="J21" s="209"/>
      <c r="K21" s="209"/>
      <c r="L21" s="209"/>
      <c r="M21" s="209"/>
      <c r="N21" s="145"/>
    </row>
    <row r="22" spans="1:14" ht="15" thickBot="1" x14ac:dyDescent="0.25">
      <c r="A22" s="38">
        <v>22</v>
      </c>
      <c r="B22" s="74">
        <f t="shared" si="1"/>
        <v>777.34871499999997</v>
      </c>
      <c r="C22" s="75">
        <f t="shared" si="2"/>
        <v>693.88392857142867</v>
      </c>
      <c r="D22" s="74">
        <f t="shared" si="3"/>
        <v>253.41568108999999</v>
      </c>
      <c r="E22" s="38">
        <v>22</v>
      </c>
      <c r="F22" s="74">
        <f t="shared" si="4"/>
        <v>1010.5528464166667</v>
      </c>
      <c r="G22" s="74">
        <f t="shared" si="0"/>
        <v>329.44022793183336</v>
      </c>
      <c r="I22" s="35"/>
      <c r="J22" s="19"/>
      <c r="K22" s="8"/>
      <c r="L22" s="111"/>
      <c r="M22" s="8"/>
      <c r="N22" s="8"/>
    </row>
    <row r="23" spans="1:14" x14ac:dyDescent="0.2">
      <c r="A23" s="38">
        <v>21</v>
      </c>
      <c r="B23" s="74">
        <f t="shared" si="1"/>
        <v>742.01468249999994</v>
      </c>
      <c r="C23" s="75">
        <f t="shared" si="2"/>
        <v>662.34375</v>
      </c>
      <c r="D23" s="74">
        <f t="shared" si="3"/>
        <v>241.89678649499999</v>
      </c>
      <c r="E23" s="38">
        <v>21</v>
      </c>
      <c r="F23" s="74">
        <f t="shared" si="4"/>
        <v>964.61862612500011</v>
      </c>
      <c r="G23" s="74">
        <f t="shared" si="0"/>
        <v>314.46567211675006</v>
      </c>
      <c r="I23" s="222" t="s">
        <v>67</v>
      </c>
      <c r="J23" s="222"/>
      <c r="K23" s="223"/>
      <c r="L23" s="286">
        <v>0</v>
      </c>
      <c r="M23" s="8"/>
      <c r="N23" s="8"/>
    </row>
    <row r="24" spans="1:14" ht="15" thickBot="1" x14ac:dyDescent="0.25">
      <c r="A24" s="38">
        <v>20</v>
      </c>
      <c r="B24" s="74">
        <f t="shared" si="1"/>
        <v>706.68065000000001</v>
      </c>
      <c r="C24" s="75">
        <f t="shared" si="2"/>
        <v>630.80357142857133</v>
      </c>
      <c r="D24" s="74">
        <f t="shared" si="3"/>
        <v>230.37789190000001</v>
      </c>
      <c r="E24" s="38">
        <v>20</v>
      </c>
      <c r="F24" s="74">
        <f t="shared" si="4"/>
        <v>918.68440583333336</v>
      </c>
      <c r="G24" s="74">
        <f t="shared" si="0"/>
        <v>299.49111630166669</v>
      </c>
      <c r="I24" s="222"/>
      <c r="J24" s="222"/>
      <c r="K24" s="223"/>
      <c r="L24" s="287"/>
      <c r="M24" s="8"/>
      <c r="N24" s="8"/>
    </row>
    <row r="25" spans="1:14" ht="15" thickBot="1" x14ac:dyDescent="0.25">
      <c r="A25" s="38">
        <v>19</v>
      </c>
      <c r="B25" s="74">
        <f t="shared" si="1"/>
        <v>671.34661750000009</v>
      </c>
      <c r="C25" s="75">
        <f t="shared" si="2"/>
        <v>599.26339285714289</v>
      </c>
      <c r="D25" s="74">
        <f t="shared" si="3"/>
        <v>218.85899730500003</v>
      </c>
      <c r="E25" s="38">
        <v>19</v>
      </c>
      <c r="F25" s="74">
        <f t="shared" si="4"/>
        <v>872.75018554166672</v>
      </c>
      <c r="G25" s="74">
        <f t="shared" si="0"/>
        <v>284.51656048658339</v>
      </c>
      <c r="I25" s="35"/>
      <c r="J25" s="19"/>
      <c r="K25" s="8"/>
      <c r="L25" s="111"/>
      <c r="M25" s="8"/>
      <c r="N25" s="8"/>
    </row>
    <row r="26" spans="1:14" x14ac:dyDescent="0.2">
      <c r="A26" s="38">
        <v>18</v>
      </c>
      <c r="B26" s="74">
        <f t="shared" si="1"/>
        <v>636.01258500000006</v>
      </c>
      <c r="C26" s="75">
        <f t="shared" si="2"/>
        <v>567.72321428571422</v>
      </c>
      <c r="D26" s="74">
        <f t="shared" si="3"/>
        <v>207.34010271000002</v>
      </c>
      <c r="E26" s="38">
        <v>18</v>
      </c>
      <c r="F26" s="74">
        <f t="shared" si="4"/>
        <v>826.81596525000009</v>
      </c>
      <c r="G26" s="74">
        <f t="shared" si="0"/>
        <v>269.54200467150002</v>
      </c>
      <c r="I26" s="222" t="s">
        <v>72</v>
      </c>
      <c r="J26" s="222"/>
      <c r="K26" s="223"/>
      <c r="L26" s="220">
        <v>0</v>
      </c>
      <c r="M26" s="8"/>
      <c r="N26" s="8"/>
    </row>
    <row r="27" spans="1:14" ht="15" thickBot="1" x14ac:dyDescent="0.25">
      <c r="A27" s="38">
        <v>17</v>
      </c>
      <c r="B27" s="74">
        <f t="shared" si="1"/>
        <v>600.67855250000002</v>
      </c>
      <c r="C27" s="75">
        <f t="shared" si="2"/>
        <v>536.18303571428567</v>
      </c>
      <c r="D27" s="74">
        <f t="shared" si="3"/>
        <v>195.82120811500002</v>
      </c>
      <c r="E27" s="38">
        <v>17</v>
      </c>
      <c r="F27" s="74">
        <f t="shared" si="4"/>
        <v>780.88174495833334</v>
      </c>
      <c r="G27" s="74">
        <f t="shared" si="0"/>
        <v>254.56744885641669</v>
      </c>
      <c r="I27" s="222"/>
      <c r="J27" s="222"/>
      <c r="K27" s="223"/>
      <c r="L27" s="221"/>
      <c r="M27" s="8"/>
      <c r="N27" s="8"/>
    </row>
    <row r="28" spans="1:14" ht="15" thickBot="1" x14ac:dyDescent="0.25">
      <c r="A28" s="38">
        <v>16</v>
      </c>
      <c r="B28" s="74">
        <f t="shared" si="1"/>
        <v>565.34451999999999</v>
      </c>
      <c r="C28" s="75">
        <f t="shared" si="2"/>
        <v>504.64285714285705</v>
      </c>
      <c r="D28" s="74">
        <f t="shared" si="3"/>
        <v>184.30231352000001</v>
      </c>
      <c r="E28" s="38">
        <v>16</v>
      </c>
      <c r="F28" s="74">
        <f t="shared" si="4"/>
        <v>734.94752466666671</v>
      </c>
      <c r="G28" s="74">
        <f t="shared" si="0"/>
        <v>239.59289304133335</v>
      </c>
      <c r="I28" s="35"/>
      <c r="J28" s="19"/>
      <c r="K28" s="8"/>
      <c r="L28" s="111"/>
      <c r="M28" s="8"/>
      <c r="N28" s="8"/>
    </row>
    <row r="29" spans="1:14" x14ac:dyDescent="0.2">
      <c r="A29" s="38">
        <v>15</v>
      </c>
      <c r="B29" s="74">
        <f t="shared" si="1"/>
        <v>530.01048749999995</v>
      </c>
      <c r="C29" s="75">
        <f t="shared" si="2"/>
        <v>473.10267857142856</v>
      </c>
      <c r="D29" s="74">
        <f t="shared" si="3"/>
        <v>172.78341892499998</v>
      </c>
      <c r="E29" s="38">
        <v>15</v>
      </c>
      <c r="F29" s="74">
        <f t="shared" si="4"/>
        <v>689.01330437499996</v>
      </c>
      <c r="G29" s="74">
        <f t="shared" si="0"/>
        <v>224.61833722624999</v>
      </c>
      <c r="I29" s="224" t="s">
        <v>68</v>
      </c>
      <c r="J29" s="225"/>
      <c r="K29" s="225"/>
      <c r="L29" s="226"/>
      <c r="M29" s="8"/>
      <c r="N29" s="8"/>
    </row>
    <row r="30" spans="1:14" ht="15" thickBot="1" x14ac:dyDescent="0.25">
      <c r="A30" s="38">
        <v>14</v>
      </c>
      <c r="B30" s="74">
        <f t="shared" si="1"/>
        <v>494.67645499999998</v>
      </c>
      <c r="C30" s="75">
        <f t="shared" si="2"/>
        <v>441.5625</v>
      </c>
      <c r="D30" s="74">
        <f t="shared" si="3"/>
        <v>161.26452433</v>
      </c>
      <c r="E30" s="38">
        <v>14</v>
      </c>
      <c r="F30" s="74">
        <f t="shared" si="4"/>
        <v>643.07908408333333</v>
      </c>
      <c r="G30" s="74">
        <f t="shared" si="0"/>
        <v>209.64378141116669</v>
      </c>
      <c r="I30" s="227"/>
      <c r="J30" s="228"/>
      <c r="K30" s="228"/>
      <c r="L30" s="229"/>
      <c r="M30" s="8"/>
      <c r="N30" s="8"/>
    </row>
    <row r="31" spans="1:14" ht="15" thickBot="1" x14ac:dyDescent="0.25">
      <c r="A31" s="38">
        <v>13</v>
      </c>
      <c r="B31" s="74">
        <f t="shared" si="1"/>
        <v>459.3424225</v>
      </c>
      <c r="C31" s="75">
        <f t="shared" si="2"/>
        <v>410.02232142857144</v>
      </c>
      <c r="D31" s="74">
        <f t="shared" si="3"/>
        <v>149.74562973499999</v>
      </c>
      <c r="E31" s="38">
        <v>13</v>
      </c>
      <c r="F31" s="74">
        <f t="shared" si="4"/>
        <v>597.14486379166669</v>
      </c>
      <c r="G31" s="74">
        <f t="shared" si="0"/>
        <v>194.66922559608335</v>
      </c>
      <c r="I31" s="134" t="s">
        <v>73</v>
      </c>
      <c r="J31" s="132" t="s">
        <v>57</v>
      </c>
      <c r="K31" s="130" t="s">
        <v>74</v>
      </c>
      <c r="L31" s="115" t="s">
        <v>59</v>
      </c>
      <c r="M31" s="8"/>
      <c r="N31" s="8"/>
    </row>
    <row r="32" spans="1:14" x14ac:dyDescent="0.2">
      <c r="A32" s="38">
        <v>12</v>
      </c>
      <c r="B32" s="74">
        <f t="shared" si="1"/>
        <v>424.00838999999996</v>
      </c>
      <c r="C32" s="75">
        <f t="shared" si="2"/>
        <v>378.48214285714283</v>
      </c>
      <c r="D32" s="74">
        <f t="shared" si="3"/>
        <v>138.22673513999999</v>
      </c>
      <c r="E32" s="38">
        <v>12</v>
      </c>
      <c r="F32" s="74">
        <f t="shared" si="4"/>
        <v>551.21064349999995</v>
      </c>
      <c r="G32" s="74">
        <f t="shared" si="0"/>
        <v>179.69466978099999</v>
      </c>
      <c r="I32" s="249">
        <f>((L23/40*7.5*5)/7)*30*$C$46</f>
        <v>0</v>
      </c>
      <c r="J32" s="251">
        <f>IF(L26&lt;I32,I32,L26)</f>
        <v>0</v>
      </c>
      <c r="K32" s="253">
        <v>32.6</v>
      </c>
      <c r="L32" s="236">
        <f>J32*K32%</f>
        <v>0</v>
      </c>
      <c r="M32" s="8"/>
      <c r="N32" s="8"/>
    </row>
    <row r="33" spans="1:14" ht="15" thickBot="1" x14ac:dyDescent="0.25">
      <c r="A33" s="38">
        <v>11</v>
      </c>
      <c r="B33" s="74">
        <f t="shared" si="1"/>
        <v>388.67435749999999</v>
      </c>
      <c r="C33" s="75">
        <f t="shared" si="2"/>
        <v>346.94196428571433</v>
      </c>
      <c r="D33" s="74">
        <f t="shared" si="3"/>
        <v>126.707840545</v>
      </c>
      <c r="E33" s="38">
        <v>11</v>
      </c>
      <c r="F33" s="74">
        <f t="shared" si="4"/>
        <v>505.27642320833337</v>
      </c>
      <c r="G33" s="74">
        <f t="shared" si="0"/>
        <v>164.72011396591668</v>
      </c>
      <c r="I33" s="250"/>
      <c r="J33" s="252"/>
      <c r="K33" s="254"/>
      <c r="L33" s="255"/>
      <c r="M33" s="8"/>
      <c r="N33" s="8"/>
    </row>
    <row r="34" spans="1:14" ht="15" thickBot="1" x14ac:dyDescent="0.25">
      <c r="A34" s="38">
        <v>10</v>
      </c>
      <c r="B34" s="74">
        <f t="shared" si="1"/>
        <v>353.34032500000001</v>
      </c>
      <c r="C34" s="75">
        <f t="shared" si="2"/>
        <v>315.40178571428567</v>
      </c>
      <c r="D34" s="74">
        <f t="shared" si="3"/>
        <v>115.18894595</v>
      </c>
      <c r="E34" s="38">
        <v>10</v>
      </c>
      <c r="F34" s="74">
        <f t="shared" si="4"/>
        <v>459.34220291666668</v>
      </c>
      <c r="G34" s="74">
        <f t="shared" si="0"/>
        <v>149.74555815083335</v>
      </c>
      <c r="I34" s="244" t="s">
        <v>69</v>
      </c>
      <c r="J34" s="245"/>
      <c r="K34" s="246"/>
      <c r="L34" s="126">
        <f>SUM(L32)</f>
        <v>0</v>
      </c>
      <c r="M34" s="8"/>
      <c r="N34" s="8"/>
    </row>
    <row r="35" spans="1:14" x14ac:dyDescent="0.2">
      <c r="A35" s="38">
        <v>9</v>
      </c>
      <c r="B35" s="74">
        <f t="shared" si="1"/>
        <v>318.00629250000003</v>
      </c>
      <c r="C35" s="75">
        <f t="shared" si="2"/>
        <v>283.86160714285711</v>
      </c>
      <c r="D35" s="74">
        <f t="shared" si="3"/>
        <v>103.67005135500001</v>
      </c>
      <c r="E35" s="38">
        <v>9</v>
      </c>
      <c r="F35" s="74">
        <f t="shared" si="4"/>
        <v>413.40798262500005</v>
      </c>
      <c r="G35" s="74">
        <f t="shared" si="0"/>
        <v>134.77100233575001</v>
      </c>
      <c r="I35" s="35"/>
      <c r="J35" s="19"/>
      <c r="K35" s="8"/>
      <c r="L35" s="111"/>
      <c r="M35" s="8"/>
      <c r="N35" s="133"/>
    </row>
    <row r="36" spans="1:14" x14ac:dyDescent="0.2">
      <c r="A36" s="38">
        <v>8</v>
      </c>
      <c r="B36" s="74">
        <f t="shared" si="1"/>
        <v>282.67225999999999</v>
      </c>
      <c r="C36" s="75">
        <f t="shared" si="2"/>
        <v>252.32142857142853</v>
      </c>
      <c r="D36" s="74">
        <f t="shared" si="3"/>
        <v>92.151156760000006</v>
      </c>
      <c r="E36" s="38">
        <v>8</v>
      </c>
      <c r="F36" s="74">
        <f t="shared" si="4"/>
        <v>367.47376233333335</v>
      </c>
      <c r="G36" s="74">
        <f t="shared" si="0"/>
        <v>119.79644652066668</v>
      </c>
      <c r="I36" s="247" t="s">
        <v>71</v>
      </c>
      <c r="J36" s="247"/>
      <c r="K36" s="247"/>
      <c r="L36" s="247"/>
      <c r="M36" s="248" t="s">
        <v>70</v>
      </c>
      <c r="N36" s="133"/>
    </row>
    <row r="37" spans="1:14" x14ac:dyDescent="0.2">
      <c r="A37" s="38">
        <v>7</v>
      </c>
      <c r="B37" s="74">
        <f t="shared" si="1"/>
        <v>247.33822749999999</v>
      </c>
      <c r="C37" s="75">
        <f t="shared" si="2"/>
        <v>220.78125</v>
      </c>
      <c r="D37" s="74">
        <f t="shared" si="3"/>
        <v>80.632262165</v>
      </c>
      <c r="E37" s="38">
        <v>7</v>
      </c>
      <c r="F37" s="74">
        <f t="shared" si="4"/>
        <v>321.53954204166666</v>
      </c>
      <c r="G37" s="74">
        <f t="shared" si="0"/>
        <v>104.82189070558334</v>
      </c>
      <c r="I37" s="247"/>
      <c r="J37" s="247"/>
      <c r="K37" s="247"/>
      <c r="L37" s="247"/>
      <c r="M37" s="248"/>
      <c r="N37" s="133"/>
    </row>
    <row r="38" spans="1:14" x14ac:dyDescent="0.2">
      <c r="A38" s="38">
        <v>6</v>
      </c>
      <c r="B38" s="74">
        <f t="shared" si="1"/>
        <v>212.00419499999998</v>
      </c>
      <c r="C38" s="75">
        <f t="shared" si="2"/>
        <v>189.24107142857142</v>
      </c>
      <c r="D38" s="74">
        <f t="shared" si="3"/>
        <v>69.113367569999994</v>
      </c>
      <c r="E38" s="38">
        <v>6</v>
      </c>
      <c r="F38" s="74">
        <f t="shared" si="4"/>
        <v>275.60532174999997</v>
      </c>
      <c r="G38" s="74">
        <f t="shared" si="0"/>
        <v>89.847334890499994</v>
      </c>
      <c r="I38" s="5"/>
    </row>
    <row r="39" spans="1:14" x14ac:dyDescent="0.2">
      <c r="A39" s="38">
        <v>5</v>
      </c>
      <c r="B39" s="74">
        <f t="shared" si="1"/>
        <v>176.6701625</v>
      </c>
      <c r="C39" s="75">
        <f t="shared" si="2"/>
        <v>157.70089285714283</v>
      </c>
      <c r="D39" s="74">
        <f t="shared" si="3"/>
        <v>57.594472975000002</v>
      </c>
      <c r="E39" s="38">
        <v>5</v>
      </c>
      <c r="F39" s="74">
        <f t="shared" si="4"/>
        <v>229.67110145833334</v>
      </c>
      <c r="G39" s="74">
        <f t="shared" si="0"/>
        <v>74.872779075416673</v>
      </c>
      <c r="I39" s="5"/>
    </row>
    <row r="40" spans="1:14" x14ac:dyDescent="0.2">
      <c r="A40" s="38">
        <v>4</v>
      </c>
      <c r="B40" s="74">
        <f t="shared" si="1"/>
        <v>141.33613</v>
      </c>
      <c r="C40" s="75">
        <f t="shared" si="2"/>
        <v>126.16071428571426</v>
      </c>
      <c r="D40" s="74">
        <f t="shared" si="3"/>
        <v>46.075578380000003</v>
      </c>
      <c r="E40" s="38">
        <v>4</v>
      </c>
      <c r="F40" s="74">
        <f t="shared" si="4"/>
        <v>183.73688116666668</v>
      </c>
      <c r="G40" s="74">
        <f t="shared" si="0"/>
        <v>59.898223260333339</v>
      </c>
      <c r="I40" s="5"/>
    </row>
    <row r="41" spans="1:14" x14ac:dyDescent="0.2">
      <c r="A41" s="38">
        <v>3</v>
      </c>
      <c r="B41" s="74">
        <f t="shared" si="1"/>
        <v>106.00209749999999</v>
      </c>
      <c r="C41" s="75">
        <f t="shared" si="2"/>
        <v>94.620535714285708</v>
      </c>
      <c r="D41" s="74">
        <f t="shared" si="3"/>
        <v>34.556683784999997</v>
      </c>
      <c r="E41" s="38">
        <v>3</v>
      </c>
      <c r="F41" s="74">
        <f t="shared" si="4"/>
        <v>137.80266087499999</v>
      </c>
      <c r="G41" s="74">
        <f t="shared" si="0"/>
        <v>44.923667445249997</v>
      </c>
      <c r="I41" s="5"/>
    </row>
    <row r="42" spans="1:14" x14ac:dyDescent="0.2">
      <c r="A42" s="38">
        <v>2</v>
      </c>
      <c r="B42" s="74">
        <f t="shared" si="1"/>
        <v>70.668064999999999</v>
      </c>
      <c r="C42" s="75">
        <f t="shared" si="2"/>
        <v>63.080357142857132</v>
      </c>
      <c r="D42" s="74">
        <f t="shared" si="3"/>
        <v>23.037789190000002</v>
      </c>
      <c r="E42" s="38">
        <v>2</v>
      </c>
      <c r="F42" s="74">
        <f t="shared" si="4"/>
        <v>91.868440583333339</v>
      </c>
      <c r="G42" s="74">
        <f t="shared" si="0"/>
        <v>29.949111630166669</v>
      </c>
      <c r="I42" s="5"/>
    </row>
    <row r="43" spans="1:14" x14ac:dyDescent="0.2">
      <c r="A43" s="39">
        <v>1</v>
      </c>
      <c r="B43" s="76">
        <f t="shared" si="1"/>
        <v>35.334032499999999</v>
      </c>
      <c r="C43" s="77">
        <f t="shared" si="2"/>
        <v>31.540178571428566</v>
      </c>
      <c r="D43" s="76">
        <f t="shared" si="3"/>
        <v>11.518894595000001</v>
      </c>
      <c r="E43" s="39">
        <v>1</v>
      </c>
      <c r="F43" s="76">
        <f t="shared" si="4"/>
        <v>45.934220291666669</v>
      </c>
      <c r="G43" s="76">
        <f t="shared" si="0"/>
        <v>14.974555815083335</v>
      </c>
      <c r="I43" s="5"/>
    </row>
    <row r="45" spans="1:14" x14ac:dyDescent="0.2">
      <c r="C45" s="198" t="s">
        <v>99</v>
      </c>
    </row>
    <row r="46" spans="1:14" s="21" customFormat="1" ht="41.25" hidden="1" customHeight="1" thickBot="1" x14ac:dyDescent="0.25">
      <c r="A46" s="189"/>
      <c r="B46" s="205" t="s">
        <v>16</v>
      </c>
      <c r="C46" s="206">
        <v>7.85</v>
      </c>
      <c r="D46" s="190"/>
      <c r="E46" s="191"/>
      <c r="F46" s="190"/>
      <c r="G46" s="190"/>
      <c r="I46" s="192"/>
    </row>
  </sheetData>
  <sheetProtection algorithmName="SHA-512" hashValue="dhRRct6TzYFiKIA2xSZ88sgyfBQbs1+5eI6cejxLIzc/CQhvw83GVA+OhSq2PS3pCe6ItJGtRHEiHcLY/B/gqA==" saltValue="ZPqWyr5rXmC0nKzrEPCY7w==" spinCount="100000" sheet="1" objects="1" scenarios="1"/>
  <protectedRanges>
    <protectedRange sqref="M36" name="CALCULO RC"/>
    <protectedRange sqref="L26" name="RET TP"/>
    <protectedRange sqref="L23" name="DED"/>
    <protectedRange sqref="L8" name="RET TC"/>
  </protectedRanges>
  <mergeCells count="35">
    <mergeCell ref="A1:G1"/>
    <mergeCell ref="B2:D2"/>
    <mergeCell ref="F2:G2"/>
    <mergeCell ref="I2:K2"/>
    <mergeCell ref="L2:M2"/>
    <mergeCell ref="I4:I5"/>
    <mergeCell ref="J4:J5"/>
    <mergeCell ref="K4:K5"/>
    <mergeCell ref="L4:L5"/>
    <mergeCell ref="M4:M5"/>
    <mergeCell ref="I8:K9"/>
    <mergeCell ref="L8:L9"/>
    <mergeCell ref="I11:L12"/>
    <mergeCell ref="I14:I15"/>
    <mergeCell ref="J14:J15"/>
    <mergeCell ref="K14:K15"/>
    <mergeCell ref="L14:L15"/>
    <mergeCell ref="I16:I17"/>
    <mergeCell ref="J16:J17"/>
    <mergeCell ref="K16:K17"/>
    <mergeCell ref="L16:L17"/>
    <mergeCell ref="I18:J18"/>
    <mergeCell ref="I34:K34"/>
    <mergeCell ref="I36:L37"/>
    <mergeCell ref="M36:M37"/>
    <mergeCell ref="I20:M21"/>
    <mergeCell ref="I29:L30"/>
    <mergeCell ref="I32:I33"/>
    <mergeCell ref="J32:J33"/>
    <mergeCell ref="K32:K33"/>
    <mergeCell ref="L32:L33"/>
    <mergeCell ref="I23:K24"/>
    <mergeCell ref="L23:L24"/>
    <mergeCell ref="I26:K27"/>
    <mergeCell ref="L26:L27"/>
  </mergeCells>
  <phoneticPr fontId="0" type="noConversion"/>
  <hyperlinks>
    <hyperlink ref="M36:M37" r:id="rId1" display="CALCULO RC"/>
  </hyperlinks>
  <pageMargins left="0.94488188976377963" right="0.94488188976377963" top="0" bottom="0.39370078740157483" header="0" footer="0"/>
  <pageSetup paperSize="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45"/>
  <sheetViews>
    <sheetView zoomScaleNormal="100" workbookViewId="0">
      <selection activeCell="D19" sqref="D19"/>
    </sheetView>
  </sheetViews>
  <sheetFormatPr baseColWidth="10" defaultRowHeight="12.75" x14ac:dyDescent="0.2"/>
  <cols>
    <col min="1" max="1" width="25.140625" style="1" bestFit="1" customWidth="1"/>
    <col min="2" max="2" width="33.5703125" style="85" customWidth="1"/>
    <col min="3" max="3" width="16.7109375" style="86" hidden="1" customWidth="1"/>
    <col min="4" max="4" width="31.28515625" style="85" customWidth="1"/>
    <col min="5" max="5" width="11.42578125" style="2" customWidth="1"/>
    <col min="6" max="6" width="21.28515625" style="2" customWidth="1"/>
    <col min="7" max="7" width="26" style="2" customWidth="1"/>
    <col min="8" max="8" width="26.85546875" style="2" customWidth="1"/>
    <col min="9" max="9" width="16.140625" style="2" bestFit="1" customWidth="1"/>
    <col min="10" max="10" width="15.140625" style="2" bestFit="1" customWidth="1"/>
    <col min="11" max="173" width="11.42578125" style="2"/>
  </cols>
  <sheetData>
    <row r="1" spans="1:173" s="8" customFormat="1" ht="65.25" customHeight="1" x14ac:dyDescent="0.2">
      <c r="A1" s="210" t="s">
        <v>106</v>
      </c>
      <c r="B1" s="210"/>
      <c r="C1" s="210"/>
      <c r="D1" s="210"/>
      <c r="E1" s="17"/>
      <c r="F1" s="17"/>
      <c r="G1" s="17"/>
      <c r="H1" s="20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</row>
    <row r="2" spans="1:173" s="27" customFormat="1" ht="25.5" customHeight="1" x14ac:dyDescent="0.2">
      <c r="A2" s="78" t="s">
        <v>45</v>
      </c>
      <c r="B2" s="83" t="s">
        <v>46</v>
      </c>
      <c r="C2" s="84" t="s">
        <v>97</v>
      </c>
      <c r="D2" s="87" t="s">
        <v>49</v>
      </c>
      <c r="E2" s="82"/>
      <c r="F2" s="291" t="s">
        <v>52</v>
      </c>
      <c r="G2" s="292"/>
      <c r="H2" s="293"/>
      <c r="I2" s="291" t="s">
        <v>56</v>
      </c>
      <c r="J2" s="293"/>
      <c r="K2" s="36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</row>
    <row r="3" spans="1:173" s="79" customFormat="1" ht="15" customHeight="1" x14ac:dyDescent="0.2">
      <c r="A3" s="37">
        <v>40</v>
      </c>
      <c r="B3" s="72">
        <f>PARAMETROS!B8</f>
        <v>2300.3236666666671</v>
      </c>
      <c r="C3" s="73"/>
      <c r="D3" s="72">
        <f>I18</f>
        <v>367.04340000000008</v>
      </c>
      <c r="E3" s="34"/>
      <c r="F3" s="120" t="s">
        <v>51</v>
      </c>
      <c r="G3" s="120" t="s">
        <v>62</v>
      </c>
      <c r="H3" s="120" t="s">
        <v>63</v>
      </c>
      <c r="I3" s="121" t="s">
        <v>54</v>
      </c>
      <c r="J3" s="120" t="s">
        <v>55</v>
      </c>
      <c r="K3" s="27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</row>
    <row r="4" spans="1:173" s="80" customFormat="1" ht="15" customHeight="1" x14ac:dyDescent="0.2">
      <c r="A4" s="38">
        <v>39</v>
      </c>
      <c r="B4" s="74">
        <f>PRODUCT(PARAMETROS!B$8,A4)/A$3</f>
        <v>2242.8155750000005</v>
      </c>
      <c r="C4" s="75">
        <f t="shared" ref="C4:C42" si="0">(A4/$A$3*7.5*5)/7*30*$C$45</f>
        <v>1062.4017857142856</v>
      </c>
      <c r="D4" s="74">
        <f>IF(B4&lt;C4,C4*$H$18%,B4*$H$18%)</f>
        <v>731.15787745000023</v>
      </c>
      <c r="E4" s="34"/>
      <c r="F4" s="294">
        <v>5</v>
      </c>
      <c r="G4" s="214">
        <v>1125.9000000000001</v>
      </c>
      <c r="H4" s="214">
        <v>4139.3999999999996</v>
      </c>
      <c r="I4" s="296">
        <v>1125.9000000000001</v>
      </c>
      <c r="J4" s="296">
        <v>4139.3999999999996</v>
      </c>
      <c r="K4" s="8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</row>
    <row r="5" spans="1:173" s="80" customFormat="1" ht="15" customHeight="1" x14ac:dyDescent="0.2">
      <c r="A5" s="38">
        <v>38</v>
      </c>
      <c r="B5" s="74">
        <f>PRODUCT(PARAMETROS!B$8,A5)/A$3</f>
        <v>2185.3074833333339</v>
      </c>
      <c r="C5" s="75">
        <f t="shared" si="0"/>
        <v>1035.1607142857144</v>
      </c>
      <c r="D5" s="74">
        <f t="shared" ref="D5:D42" si="1">IF(B5&lt;C5,C5*$H$18%,B5*$H$18%)</f>
        <v>712.41023956666686</v>
      </c>
      <c r="E5" s="34"/>
      <c r="F5" s="295"/>
      <c r="G5" s="215"/>
      <c r="H5" s="215"/>
      <c r="I5" s="297"/>
      <c r="J5" s="297"/>
      <c r="K5" s="8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</row>
    <row r="6" spans="1:173" s="80" customFormat="1" ht="15" customHeight="1" x14ac:dyDescent="0.2">
      <c r="A6" s="38">
        <v>37</v>
      </c>
      <c r="B6" s="74">
        <f>PRODUCT(PARAMETROS!B$8,A6)/A$3</f>
        <v>2127.7993916666669</v>
      </c>
      <c r="C6" s="75">
        <f t="shared" si="0"/>
        <v>1007.919642857143</v>
      </c>
      <c r="D6" s="74">
        <f t="shared" si="1"/>
        <v>693.66260168333349</v>
      </c>
      <c r="E6" s="34"/>
      <c r="F6" s="35"/>
      <c r="G6" s="8"/>
      <c r="H6" s="8"/>
      <c r="I6" s="111"/>
      <c r="J6" s="8"/>
      <c r="K6" s="8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</row>
    <row r="7" spans="1:173" s="80" customFormat="1" ht="15" customHeight="1" thickBot="1" x14ac:dyDescent="0.25">
      <c r="A7" s="38">
        <v>36</v>
      </c>
      <c r="B7" s="74">
        <f>PRODUCT(PARAMETROS!B$8,A7)/A$3</f>
        <v>2070.2913000000003</v>
      </c>
      <c r="C7" s="75">
        <f t="shared" si="0"/>
        <v>980.67857142857144</v>
      </c>
      <c r="D7" s="74">
        <f t="shared" si="1"/>
        <v>674.91496380000012</v>
      </c>
      <c r="E7" s="34"/>
      <c r="F7" s="35"/>
      <c r="G7" s="19"/>
      <c r="H7" s="8"/>
      <c r="I7" s="111"/>
      <c r="J7" s="8"/>
      <c r="K7" s="8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</row>
    <row r="8" spans="1:173" s="80" customFormat="1" ht="15" customHeight="1" x14ac:dyDescent="0.2">
      <c r="A8" s="38">
        <v>35</v>
      </c>
      <c r="B8" s="74">
        <f>PRODUCT(PARAMETROS!B$8,A8)/A$3</f>
        <v>2012.7832083333337</v>
      </c>
      <c r="C8" s="75">
        <f t="shared" si="0"/>
        <v>953.4375</v>
      </c>
      <c r="D8" s="74">
        <f t="shared" si="1"/>
        <v>656.16732591666687</v>
      </c>
      <c r="E8" s="34"/>
      <c r="F8" s="222" t="s">
        <v>66</v>
      </c>
      <c r="G8" s="222"/>
      <c r="H8" s="223"/>
      <c r="I8" s="289">
        <v>0</v>
      </c>
      <c r="J8" s="8"/>
      <c r="K8" s="8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</row>
    <row r="9" spans="1:173" s="80" customFormat="1" ht="15" customHeight="1" thickBot="1" x14ac:dyDescent="0.25">
      <c r="A9" s="38">
        <v>34</v>
      </c>
      <c r="B9" s="74">
        <f>PRODUCT(PARAMETROS!B$8,A9)/A$3</f>
        <v>1955.2751166666669</v>
      </c>
      <c r="C9" s="75">
        <f t="shared" si="0"/>
        <v>926.19642857142867</v>
      </c>
      <c r="D9" s="74">
        <f t="shared" si="1"/>
        <v>637.41968803333339</v>
      </c>
      <c r="E9" s="34"/>
      <c r="F9" s="222"/>
      <c r="G9" s="222"/>
      <c r="H9" s="223"/>
      <c r="I9" s="290"/>
      <c r="J9" s="8"/>
      <c r="K9" s="8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</row>
    <row r="10" spans="1:173" s="80" customFormat="1" ht="15" customHeight="1" thickBot="1" x14ac:dyDescent="0.25">
      <c r="A10" s="38">
        <v>33</v>
      </c>
      <c r="B10" s="74">
        <f>PRODUCT(PARAMETROS!B$8,A10)/A$3</f>
        <v>1897.7670250000003</v>
      </c>
      <c r="C10" s="75">
        <f t="shared" si="0"/>
        <v>898.955357142857</v>
      </c>
      <c r="D10" s="74">
        <f t="shared" si="1"/>
        <v>618.67205015000013</v>
      </c>
      <c r="E10" s="34"/>
      <c r="F10" s="116"/>
      <c r="G10" s="117"/>
      <c r="H10" s="118"/>
      <c r="I10" s="119"/>
      <c r="J10" s="8"/>
      <c r="K10" s="8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</row>
    <row r="11" spans="1:173" s="80" customFormat="1" ht="15" customHeight="1" x14ac:dyDescent="0.2">
      <c r="A11" s="38">
        <v>32</v>
      </c>
      <c r="B11" s="74">
        <f>PRODUCT(PARAMETROS!B$8,A11)/A$3</f>
        <v>1840.2589333333337</v>
      </c>
      <c r="C11" s="75">
        <f t="shared" si="0"/>
        <v>871.71428571428567</v>
      </c>
      <c r="D11" s="74">
        <f t="shared" si="1"/>
        <v>599.92441226666688</v>
      </c>
      <c r="E11" s="34"/>
      <c r="F11" s="224" t="s">
        <v>64</v>
      </c>
      <c r="G11" s="225"/>
      <c r="H11" s="225"/>
      <c r="I11" s="226"/>
      <c r="J11" s="8"/>
      <c r="K11" s="8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</row>
    <row r="12" spans="1:173" s="80" customFormat="1" ht="15" customHeight="1" thickBot="1" x14ac:dyDescent="0.25">
      <c r="A12" s="38">
        <v>31</v>
      </c>
      <c r="B12" s="74">
        <f>PRODUCT(PARAMETROS!B$8,A12)/A$3</f>
        <v>1782.7508416666672</v>
      </c>
      <c r="C12" s="75">
        <f t="shared" si="0"/>
        <v>844.47321428571433</v>
      </c>
      <c r="D12" s="74">
        <f t="shared" si="1"/>
        <v>581.17677438333351</v>
      </c>
      <c r="E12" s="34"/>
      <c r="F12" s="227"/>
      <c r="G12" s="228"/>
      <c r="H12" s="228"/>
      <c r="I12" s="229"/>
      <c r="J12" s="8"/>
      <c r="K12" s="8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</row>
    <row r="13" spans="1:173" s="80" customFormat="1" ht="15" customHeight="1" thickBot="1" x14ac:dyDescent="0.25">
      <c r="A13" s="38">
        <v>30</v>
      </c>
      <c r="B13" s="74">
        <f>PRODUCT(PARAMETROS!B$8,A13)/A$3</f>
        <v>1725.2427500000006</v>
      </c>
      <c r="C13" s="75">
        <f t="shared" si="0"/>
        <v>817.23214285714289</v>
      </c>
      <c r="D13" s="74">
        <f t="shared" si="1"/>
        <v>562.42913650000025</v>
      </c>
      <c r="E13" s="34"/>
      <c r="F13" s="113"/>
      <c r="G13" s="132" t="s">
        <v>57</v>
      </c>
      <c r="H13" s="130" t="s">
        <v>58</v>
      </c>
      <c r="I13" s="140" t="s">
        <v>59</v>
      </c>
      <c r="J13" s="8"/>
      <c r="K13" s="8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</row>
    <row r="14" spans="1:173" s="80" customFormat="1" ht="15" customHeight="1" x14ac:dyDescent="0.2">
      <c r="A14" s="38">
        <v>29</v>
      </c>
      <c r="B14" s="74">
        <f>PRODUCT(PARAMETROS!B$8,A14)/A$3</f>
        <v>1667.7346583333335</v>
      </c>
      <c r="C14" s="75">
        <f t="shared" si="0"/>
        <v>789.99107142857156</v>
      </c>
      <c r="D14" s="74">
        <f t="shared" si="1"/>
        <v>543.68149861666677</v>
      </c>
      <c r="E14" s="34"/>
      <c r="F14" s="238" t="s">
        <v>60</v>
      </c>
      <c r="G14" s="232">
        <f>IF(I8&gt;=G4,I8,G4)</f>
        <v>1125.9000000000001</v>
      </c>
      <c r="H14" s="253">
        <v>23.6</v>
      </c>
      <c r="I14" s="236">
        <f>G14*H14%</f>
        <v>265.71240000000006</v>
      </c>
      <c r="J14" s="8"/>
      <c r="K14" s="8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</row>
    <row r="15" spans="1:173" s="80" customFormat="1" ht="15" customHeight="1" thickBot="1" x14ac:dyDescent="0.25">
      <c r="A15" s="38">
        <v>28</v>
      </c>
      <c r="B15" s="74">
        <f>PRODUCT(PARAMETROS!B$8,A15)/A$3</f>
        <v>1610.2265666666669</v>
      </c>
      <c r="C15" s="75">
        <f t="shared" si="0"/>
        <v>762.75</v>
      </c>
      <c r="D15" s="74">
        <f t="shared" si="1"/>
        <v>524.9338607333334</v>
      </c>
      <c r="E15" s="34"/>
      <c r="F15" s="239"/>
      <c r="G15" s="233"/>
      <c r="H15" s="254"/>
      <c r="I15" s="255"/>
      <c r="J15" s="8"/>
      <c r="K15" s="8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</row>
    <row r="16" spans="1:173" s="80" customFormat="1" ht="15" customHeight="1" x14ac:dyDescent="0.2">
      <c r="A16" s="38">
        <v>27</v>
      </c>
      <c r="B16" s="74">
        <f>PRODUCT(PARAMETROS!B$8,A16)/A$3</f>
        <v>1552.7184750000004</v>
      </c>
      <c r="C16" s="75">
        <f t="shared" si="0"/>
        <v>735.50892857142856</v>
      </c>
      <c r="D16" s="74">
        <f t="shared" si="1"/>
        <v>506.18622285000015</v>
      </c>
      <c r="E16" s="34"/>
      <c r="F16" s="238" t="s">
        <v>61</v>
      </c>
      <c r="G16" s="232">
        <f>IF(I8&gt;=I4,I8,I4)</f>
        <v>1125.9000000000001</v>
      </c>
      <c r="H16" s="253">
        <v>9</v>
      </c>
      <c r="I16" s="236">
        <f>G16*H16%</f>
        <v>101.331</v>
      </c>
      <c r="J16" s="8"/>
      <c r="K16" s="8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</row>
    <row r="17" spans="1:173" s="80" customFormat="1" ht="15" customHeight="1" thickBot="1" x14ac:dyDescent="0.25">
      <c r="A17" s="38">
        <v>26</v>
      </c>
      <c r="B17" s="74">
        <f>PRODUCT(PARAMETROS!B$8,A17)/A$3</f>
        <v>1495.2103833333335</v>
      </c>
      <c r="C17" s="75">
        <f t="shared" si="0"/>
        <v>708.26785714285722</v>
      </c>
      <c r="D17" s="74">
        <f t="shared" si="1"/>
        <v>487.43858496666672</v>
      </c>
      <c r="E17" s="34"/>
      <c r="F17" s="239"/>
      <c r="G17" s="233"/>
      <c r="H17" s="254"/>
      <c r="I17" s="255"/>
      <c r="J17" s="8"/>
      <c r="K17" s="8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</row>
    <row r="18" spans="1:173" s="80" customFormat="1" ht="15" customHeight="1" thickBot="1" x14ac:dyDescent="0.25">
      <c r="A18" s="38">
        <v>25</v>
      </c>
      <c r="B18" s="74">
        <f>PRODUCT(PARAMETROS!B$8,A18)/A$3</f>
        <v>1437.702291666667</v>
      </c>
      <c r="C18" s="75">
        <f t="shared" si="0"/>
        <v>681.02678571428578</v>
      </c>
      <c r="D18" s="74">
        <f t="shared" si="1"/>
        <v>468.69094708333347</v>
      </c>
      <c r="E18" s="34"/>
      <c r="F18" s="218" t="s">
        <v>65</v>
      </c>
      <c r="G18" s="219"/>
      <c r="H18" s="131">
        <f>(H14+H16)</f>
        <v>32.6</v>
      </c>
      <c r="I18" s="126">
        <f>SUM(I14:I17)</f>
        <v>367.04340000000008</v>
      </c>
      <c r="J18" s="8"/>
      <c r="K18" s="8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</row>
    <row r="19" spans="1:173" s="80" customFormat="1" ht="15" customHeight="1" x14ac:dyDescent="0.2">
      <c r="A19" s="38">
        <v>24</v>
      </c>
      <c r="B19" s="74">
        <f>PRODUCT(PARAMETROS!B$8,A19)/A$3</f>
        <v>1380.1942000000004</v>
      </c>
      <c r="C19" s="75">
        <f t="shared" si="0"/>
        <v>653.78571428571433</v>
      </c>
      <c r="D19" s="74">
        <f t="shared" si="1"/>
        <v>449.94330920000016</v>
      </c>
      <c r="E19" s="34"/>
      <c r="F19" s="122"/>
      <c r="G19" s="123"/>
      <c r="H19" s="124"/>
      <c r="I19" s="125"/>
      <c r="J19" s="8"/>
      <c r="K19" s="8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</row>
    <row r="20" spans="1:173" s="80" customFormat="1" ht="15" customHeight="1" x14ac:dyDescent="0.2">
      <c r="A20" s="38">
        <v>23</v>
      </c>
      <c r="B20" s="74">
        <f>PRODUCT(PARAMETROS!B$8,A20)/A$3</f>
        <v>1322.6861083333338</v>
      </c>
      <c r="C20" s="75">
        <f t="shared" si="0"/>
        <v>626.54464285714278</v>
      </c>
      <c r="D20" s="74">
        <f t="shared" si="1"/>
        <v>431.19567131666685</v>
      </c>
      <c r="E20" s="34"/>
      <c r="F20" s="209" t="s">
        <v>81</v>
      </c>
      <c r="G20" s="209"/>
      <c r="H20" s="209"/>
      <c r="I20" s="209"/>
      <c r="J20" s="209"/>
      <c r="K20" s="145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</row>
    <row r="21" spans="1:173" s="80" customFormat="1" ht="15" customHeight="1" x14ac:dyDescent="0.2">
      <c r="A21" s="38">
        <v>22</v>
      </c>
      <c r="B21" s="74">
        <f>PRODUCT(PARAMETROS!B$8,A21)/A$3</f>
        <v>1265.178016666667</v>
      </c>
      <c r="C21" s="75">
        <f t="shared" si="0"/>
        <v>599.30357142857156</v>
      </c>
      <c r="D21" s="74">
        <f t="shared" si="1"/>
        <v>412.44803343333342</v>
      </c>
      <c r="E21" s="34"/>
      <c r="F21" s="209"/>
      <c r="G21" s="209"/>
      <c r="H21" s="209"/>
      <c r="I21" s="209"/>
      <c r="J21" s="209"/>
      <c r="K21" s="145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</row>
    <row r="22" spans="1:173" s="80" customFormat="1" ht="15" customHeight="1" thickBot="1" x14ac:dyDescent="0.25">
      <c r="A22" s="38">
        <v>21</v>
      </c>
      <c r="B22" s="74">
        <f>PRODUCT(PARAMETROS!B$8,A22)/A$3</f>
        <v>1207.6699250000001</v>
      </c>
      <c r="C22" s="75">
        <f t="shared" si="0"/>
        <v>572.0625</v>
      </c>
      <c r="D22" s="74">
        <f t="shared" si="1"/>
        <v>393.70039555000005</v>
      </c>
      <c r="E22" s="34"/>
      <c r="F22" s="35"/>
      <c r="G22" s="19"/>
      <c r="H22" s="8"/>
      <c r="I22" s="111"/>
      <c r="J22" s="8"/>
      <c r="K22" s="8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</row>
    <row r="23" spans="1:173" s="80" customFormat="1" ht="15" customHeight="1" x14ac:dyDescent="0.2">
      <c r="A23" s="38">
        <v>20</v>
      </c>
      <c r="B23" s="74">
        <f>PRODUCT(PARAMETROS!B$8,A23)/A$3</f>
        <v>1150.1618333333336</v>
      </c>
      <c r="C23" s="75">
        <f t="shared" si="0"/>
        <v>544.82142857142856</v>
      </c>
      <c r="D23" s="74">
        <f t="shared" si="1"/>
        <v>374.95275766666674</v>
      </c>
      <c r="E23" s="34"/>
      <c r="F23" s="222" t="s">
        <v>67</v>
      </c>
      <c r="G23" s="222"/>
      <c r="H23" s="223"/>
      <c r="I23" s="242">
        <v>0</v>
      </c>
      <c r="J23" s="8"/>
      <c r="K23" s="8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</row>
    <row r="24" spans="1:173" s="80" customFormat="1" ht="15" customHeight="1" thickBot="1" x14ac:dyDescent="0.25">
      <c r="A24" s="38">
        <v>19</v>
      </c>
      <c r="B24" s="74">
        <f>PRODUCT(PARAMETROS!B$8,A24)/A$3</f>
        <v>1092.653741666667</v>
      </c>
      <c r="C24" s="75">
        <f t="shared" si="0"/>
        <v>517.58035714285722</v>
      </c>
      <c r="D24" s="74">
        <f t="shared" si="1"/>
        <v>356.20511978333343</v>
      </c>
      <c r="E24" s="34"/>
      <c r="F24" s="222"/>
      <c r="G24" s="222"/>
      <c r="H24" s="223"/>
      <c r="I24" s="243"/>
      <c r="J24" s="8"/>
      <c r="K24" s="8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</row>
    <row r="25" spans="1:173" s="80" customFormat="1" ht="15" customHeight="1" thickBot="1" x14ac:dyDescent="0.25">
      <c r="A25" s="38">
        <v>18</v>
      </c>
      <c r="B25" s="74">
        <f>PRODUCT(PARAMETROS!B$8,A25)/A$3</f>
        <v>1035.1456500000002</v>
      </c>
      <c r="C25" s="75">
        <f t="shared" si="0"/>
        <v>490.33928571428572</v>
      </c>
      <c r="D25" s="74">
        <f t="shared" si="1"/>
        <v>337.45748190000006</v>
      </c>
      <c r="E25" s="34"/>
      <c r="F25" s="35"/>
      <c r="G25" s="19"/>
      <c r="H25" s="8"/>
      <c r="I25" s="111"/>
      <c r="J25" s="8"/>
      <c r="K25" s="8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</row>
    <row r="26" spans="1:173" s="80" customFormat="1" ht="15" customHeight="1" x14ac:dyDescent="0.2">
      <c r="A26" s="38">
        <v>17</v>
      </c>
      <c r="B26" s="74">
        <f>PRODUCT(PARAMETROS!B$8,A26)/A$3</f>
        <v>977.63755833333346</v>
      </c>
      <c r="C26" s="75">
        <f t="shared" si="0"/>
        <v>463.09821428571433</v>
      </c>
      <c r="D26" s="74">
        <f t="shared" si="1"/>
        <v>318.70984401666669</v>
      </c>
      <c r="E26" s="34"/>
      <c r="F26" s="222" t="s">
        <v>72</v>
      </c>
      <c r="G26" s="222"/>
      <c r="H26" s="223"/>
      <c r="I26" s="220">
        <v>0</v>
      </c>
      <c r="J26" s="8"/>
      <c r="K26" s="8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</row>
    <row r="27" spans="1:173" s="80" customFormat="1" ht="15" customHeight="1" thickBot="1" x14ac:dyDescent="0.25">
      <c r="A27" s="38">
        <v>16</v>
      </c>
      <c r="B27" s="74">
        <f>PRODUCT(PARAMETROS!B$8,A27)/A$3</f>
        <v>920.12946666666687</v>
      </c>
      <c r="C27" s="75">
        <f t="shared" si="0"/>
        <v>435.85714285714283</v>
      </c>
      <c r="D27" s="74">
        <f t="shared" si="1"/>
        <v>299.96220613333344</v>
      </c>
      <c r="E27" s="34"/>
      <c r="F27" s="222"/>
      <c r="G27" s="222"/>
      <c r="H27" s="223"/>
      <c r="I27" s="221"/>
      <c r="J27" s="8"/>
      <c r="K27" s="8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</row>
    <row r="28" spans="1:173" s="80" customFormat="1" ht="15" customHeight="1" thickBot="1" x14ac:dyDescent="0.25">
      <c r="A28" s="38">
        <v>15</v>
      </c>
      <c r="B28" s="74">
        <f>PRODUCT(PARAMETROS!B$8,A28)/A$3</f>
        <v>862.62137500000028</v>
      </c>
      <c r="C28" s="75">
        <f t="shared" si="0"/>
        <v>408.61607142857144</v>
      </c>
      <c r="D28" s="74">
        <f t="shared" si="1"/>
        <v>281.21456825000013</v>
      </c>
      <c r="E28" s="34"/>
      <c r="F28" s="35"/>
      <c r="G28" s="19"/>
      <c r="H28" s="8"/>
      <c r="I28" s="111"/>
      <c r="J28" s="8"/>
      <c r="K28" s="8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</row>
    <row r="29" spans="1:173" s="80" customFormat="1" ht="15" customHeight="1" x14ac:dyDescent="0.2">
      <c r="A29" s="38">
        <v>14</v>
      </c>
      <c r="B29" s="74">
        <f>PRODUCT(PARAMETROS!B$8,A29)/A$3</f>
        <v>805.11328333333347</v>
      </c>
      <c r="C29" s="75">
        <f t="shared" si="0"/>
        <v>381.375</v>
      </c>
      <c r="D29" s="74">
        <f t="shared" si="1"/>
        <v>262.4669303666667</v>
      </c>
      <c r="E29" s="34"/>
      <c r="F29" s="224" t="s">
        <v>68</v>
      </c>
      <c r="G29" s="225"/>
      <c r="H29" s="225"/>
      <c r="I29" s="226"/>
      <c r="J29" s="8"/>
      <c r="K29" s="8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</row>
    <row r="30" spans="1:173" s="80" customFormat="1" ht="15" customHeight="1" thickBot="1" x14ac:dyDescent="0.25">
      <c r="A30" s="38">
        <v>13</v>
      </c>
      <c r="B30" s="74">
        <f>PRODUCT(PARAMETROS!B$8,A30)/A$3</f>
        <v>747.60519166666677</v>
      </c>
      <c r="C30" s="75">
        <f t="shared" si="0"/>
        <v>354.13392857142861</v>
      </c>
      <c r="D30" s="74">
        <f t="shared" si="1"/>
        <v>243.71929248333336</v>
      </c>
      <c r="E30" s="34"/>
      <c r="F30" s="227"/>
      <c r="G30" s="228"/>
      <c r="H30" s="228"/>
      <c r="I30" s="229"/>
      <c r="J30" s="8"/>
      <c r="K30" s="8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</row>
    <row r="31" spans="1:173" s="80" customFormat="1" ht="15" customHeight="1" thickBot="1" x14ac:dyDescent="0.25">
      <c r="A31" s="38">
        <v>12</v>
      </c>
      <c r="B31" s="74">
        <f>PRODUCT(PARAMETROS!B$8,A31)/A$3</f>
        <v>690.09710000000018</v>
      </c>
      <c r="C31" s="75">
        <f t="shared" si="0"/>
        <v>326.89285714285717</v>
      </c>
      <c r="D31" s="74">
        <f t="shared" si="1"/>
        <v>224.97165460000008</v>
      </c>
      <c r="E31" s="34"/>
      <c r="F31" s="134" t="s">
        <v>73</v>
      </c>
      <c r="G31" s="132" t="s">
        <v>57</v>
      </c>
      <c r="H31" s="130" t="s">
        <v>74</v>
      </c>
      <c r="I31" s="115" t="s">
        <v>59</v>
      </c>
      <c r="J31" s="8"/>
      <c r="K31" s="8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</row>
    <row r="32" spans="1:173" s="80" customFormat="1" ht="15" customHeight="1" x14ac:dyDescent="0.2">
      <c r="A32" s="38">
        <v>11</v>
      </c>
      <c r="B32" s="74">
        <f>PRODUCT(PARAMETROS!B$8,A32)/A$3</f>
        <v>632.58900833333348</v>
      </c>
      <c r="C32" s="75">
        <f t="shared" si="0"/>
        <v>299.65178571428578</v>
      </c>
      <c r="D32" s="74">
        <f t="shared" si="1"/>
        <v>206.22401671666671</v>
      </c>
      <c r="E32" s="34"/>
      <c r="F32" s="288">
        <f>((I23/40*7.5*5)/7)*30*$C$45</f>
        <v>0</v>
      </c>
      <c r="G32" s="251">
        <f>IF(I26&lt;F32,F32,I26)</f>
        <v>0</v>
      </c>
      <c r="H32" s="253">
        <v>32.6</v>
      </c>
      <c r="I32" s="236">
        <f>G32*H32%</f>
        <v>0</v>
      </c>
      <c r="J32" s="8"/>
      <c r="K32" s="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</row>
    <row r="33" spans="1:173" s="80" customFormat="1" ht="15" customHeight="1" thickBot="1" x14ac:dyDescent="0.25">
      <c r="A33" s="38">
        <v>10</v>
      </c>
      <c r="B33" s="74">
        <f>PRODUCT(PARAMETROS!B$8,A33)/A$3</f>
        <v>575.08091666666678</v>
      </c>
      <c r="C33" s="75">
        <f t="shared" si="0"/>
        <v>272.41071428571428</v>
      </c>
      <c r="D33" s="74">
        <f t="shared" si="1"/>
        <v>187.47637883333337</v>
      </c>
      <c r="E33" s="34"/>
      <c r="F33" s="250"/>
      <c r="G33" s="252"/>
      <c r="H33" s="254"/>
      <c r="I33" s="255"/>
      <c r="J33" s="8"/>
      <c r="K33" s="8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</row>
    <row r="34" spans="1:173" s="80" customFormat="1" ht="15" customHeight="1" thickBot="1" x14ac:dyDescent="0.25">
      <c r="A34" s="38">
        <v>9</v>
      </c>
      <c r="B34" s="74">
        <f>PRODUCT(PARAMETROS!B$8,A34)/A$3</f>
        <v>517.57282500000008</v>
      </c>
      <c r="C34" s="75">
        <f t="shared" si="0"/>
        <v>245.16964285714286</v>
      </c>
      <c r="D34" s="74">
        <f t="shared" si="1"/>
        <v>168.72874095000003</v>
      </c>
      <c r="E34" s="34"/>
      <c r="F34" s="244" t="s">
        <v>69</v>
      </c>
      <c r="G34" s="245"/>
      <c r="H34" s="246"/>
      <c r="I34" s="126">
        <f>SUM(I32)</f>
        <v>0</v>
      </c>
      <c r="J34" s="8"/>
      <c r="K34" s="8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</row>
    <row r="35" spans="1:173" s="80" customFormat="1" ht="15" customHeight="1" x14ac:dyDescent="0.2">
      <c r="A35" s="38">
        <v>8</v>
      </c>
      <c r="B35" s="74">
        <f>PRODUCT(PARAMETROS!B$8,A35)/A$3</f>
        <v>460.06473333333344</v>
      </c>
      <c r="C35" s="75">
        <f t="shared" si="0"/>
        <v>217.92857142857142</v>
      </c>
      <c r="D35" s="74">
        <f t="shared" si="1"/>
        <v>149.98110306666672</v>
      </c>
      <c r="E35" s="34"/>
      <c r="F35" s="35"/>
      <c r="G35" s="19"/>
      <c r="H35" s="8"/>
      <c r="I35" s="111"/>
      <c r="J35" s="8"/>
      <c r="K35" s="133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</row>
    <row r="36" spans="1:173" s="80" customFormat="1" ht="15" customHeight="1" x14ac:dyDescent="0.2">
      <c r="A36" s="38">
        <v>7</v>
      </c>
      <c r="B36" s="74">
        <f>PRODUCT(PARAMETROS!B$8,A36)/A$3</f>
        <v>402.55664166666674</v>
      </c>
      <c r="C36" s="75">
        <f t="shared" si="0"/>
        <v>190.6875</v>
      </c>
      <c r="D36" s="74">
        <f t="shared" si="1"/>
        <v>131.23346518333335</v>
      </c>
      <c r="E36" s="34"/>
      <c r="F36" s="266" t="s">
        <v>71</v>
      </c>
      <c r="G36" s="266"/>
      <c r="H36" s="266"/>
      <c r="I36" s="248" t="s">
        <v>70</v>
      </c>
      <c r="J36" s="34"/>
      <c r="K36" s="133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</row>
    <row r="37" spans="1:173" s="80" customFormat="1" ht="15" customHeight="1" x14ac:dyDescent="0.2">
      <c r="A37" s="38">
        <v>6</v>
      </c>
      <c r="B37" s="74">
        <f>PRODUCT(PARAMETROS!B$8,A37)/A$3</f>
        <v>345.04855000000009</v>
      </c>
      <c r="C37" s="75">
        <f t="shared" si="0"/>
        <v>163.44642857142858</v>
      </c>
      <c r="D37" s="74">
        <f t="shared" si="1"/>
        <v>112.48582730000004</v>
      </c>
      <c r="E37" s="34"/>
      <c r="F37" s="266"/>
      <c r="G37" s="266"/>
      <c r="H37" s="266"/>
      <c r="I37" s="248"/>
      <c r="J37" s="34"/>
      <c r="K37" s="133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</row>
    <row r="38" spans="1:173" s="80" customFormat="1" ht="15" customHeight="1" x14ac:dyDescent="0.2">
      <c r="A38" s="38">
        <v>5</v>
      </c>
      <c r="B38" s="74">
        <f>PRODUCT(PARAMETROS!B$8,A38)/A$3</f>
        <v>287.54045833333339</v>
      </c>
      <c r="C38" s="75">
        <f t="shared" si="0"/>
        <v>136.20535714285714</v>
      </c>
      <c r="D38" s="74">
        <f t="shared" si="1"/>
        <v>93.738189416666685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</row>
    <row r="39" spans="1:173" s="80" customFormat="1" ht="15" customHeight="1" x14ac:dyDescent="0.2">
      <c r="A39" s="38">
        <v>4</v>
      </c>
      <c r="B39" s="74">
        <f>PRODUCT(PARAMETROS!B$8,A39)/A$3</f>
        <v>230.03236666666672</v>
      </c>
      <c r="C39" s="75">
        <f t="shared" si="0"/>
        <v>108.96428571428571</v>
      </c>
      <c r="D39" s="74">
        <f t="shared" si="1"/>
        <v>74.99055153333336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</row>
    <row r="40" spans="1:173" s="80" customFormat="1" ht="15" customHeight="1" x14ac:dyDescent="0.2">
      <c r="A40" s="38">
        <v>3</v>
      </c>
      <c r="B40" s="74">
        <f>PRODUCT(PARAMETROS!B$8,A40)/A$3</f>
        <v>172.52427500000005</v>
      </c>
      <c r="C40" s="75">
        <f t="shared" si="0"/>
        <v>81.723214285714292</v>
      </c>
      <c r="D40" s="74">
        <f t="shared" si="1"/>
        <v>56.24291365000002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</row>
    <row r="41" spans="1:173" s="80" customFormat="1" ht="15" customHeight="1" x14ac:dyDescent="0.2">
      <c r="A41" s="38">
        <v>2</v>
      </c>
      <c r="B41" s="74">
        <f>PRODUCT(PARAMETROS!B$8,A41)/A$3</f>
        <v>115.01618333333336</v>
      </c>
      <c r="C41" s="75">
        <f t="shared" si="0"/>
        <v>54.482142857142854</v>
      </c>
      <c r="D41" s="74">
        <f t="shared" si="1"/>
        <v>37.49527576666668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</row>
    <row r="42" spans="1:173" s="81" customFormat="1" ht="15" customHeight="1" x14ac:dyDescent="0.2">
      <c r="A42" s="39">
        <v>1</v>
      </c>
      <c r="B42" s="76">
        <f>PRODUCT(PARAMETROS!B$8,A42)/A$3</f>
        <v>57.508091666666679</v>
      </c>
      <c r="C42" s="77">
        <f t="shared" si="0"/>
        <v>27.241071428571427</v>
      </c>
      <c r="D42" s="76">
        <f t="shared" si="1"/>
        <v>18.74763788333334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</row>
    <row r="44" spans="1:173" x14ac:dyDescent="0.2">
      <c r="C44" s="198" t="s">
        <v>99</v>
      </c>
    </row>
    <row r="45" spans="1:173" s="8" customFormat="1" ht="26.25" hidden="1" thickBot="1" x14ac:dyDescent="0.25">
      <c r="A45" s="33"/>
      <c r="B45" s="205" t="s">
        <v>34</v>
      </c>
      <c r="C45" s="206">
        <v>6.78</v>
      </c>
      <c r="D45" s="108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</row>
  </sheetData>
  <sheetProtection algorithmName="SHA-512" hashValue="MpTuT7SPHPjFHSJkljlI57NQS1pdMm87jAA0igXi92OFkQmHBvUOvQ+TnFlhQG/sJppITEnoOisPzFjNaD2RMQ==" saltValue="OmEh63UiTXHsMPszCqkovQ==" spinCount="100000" sheet="1" objects="1" scenarios="1"/>
  <protectedRanges>
    <protectedRange sqref="I36" name="CALCULO RC"/>
    <protectedRange sqref="I26" name="RET TP"/>
    <protectedRange sqref="I23" name="DED"/>
    <protectedRange sqref="I8" name="RET TC"/>
  </protectedRanges>
  <mergeCells count="33">
    <mergeCell ref="A1:D1"/>
    <mergeCell ref="F2:H2"/>
    <mergeCell ref="I2:J2"/>
    <mergeCell ref="F4:F5"/>
    <mergeCell ref="G4:G5"/>
    <mergeCell ref="H4:H5"/>
    <mergeCell ref="I4:I5"/>
    <mergeCell ref="J4:J5"/>
    <mergeCell ref="F8:H9"/>
    <mergeCell ref="I8:I9"/>
    <mergeCell ref="F11:I12"/>
    <mergeCell ref="F14:F15"/>
    <mergeCell ref="G14:G15"/>
    <mergeCell ref="H14:H15"/>
    <mergeCell ref="I14:I15"/>
    <mergeCell ref="F16:F17"/>
    <mergeCell ref="G16:G17"/>
    <mergeCell ref="H16:H17"/>
    <mergeCell ref="I16:I17"/>
    <mergeCell ref="F18:G18"/>
    <mergeCell ref="F20:J21"/>
    <mergeCell ref="F36:H37"/>
    <mergeCell ref="F34:H34"/>
    <mergeCell ref="I36:I37"/>
    <mergeCell ref="F29:I30"/>
    <mergeCell ref="F32:F33"/>
    <mergeCell ref="G32:G33"/>
    <mergeCell ref="H32:H33"/>
    <mergeCell ref="I32:I33"/>
    <mergeCell ref="F23:H24"/>
    <mergeCell ref="I23:I24"/>
    <mergeCell ref="F26:H27"/>
    <mergeCell ref="I26:I27"/>
  </mergeCells>
  <phoneticPr fontId="0" type="noConversion"/>
  <hyperlinks>
    <hyperlink ref="I36:I37" r:id="rId1" display="CALCULO RC"/>
  </hyperlinks>
  <printOptions horizontalCentered="1"/>
  <pageMargins left="0.94488188976377963" right="0.94488188976377963" top="0" bottom="0.39370078740157483" header="0" footer="0"/>
  <pageSetup paperSize="9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46"/>
  <sheetViews>
    <sheetView tabSelected="1" zoomScaleNormal="100" workbookViewId="0">
      <selection activeCell="D27" sqref="D27"/>
    </sheetView>
  </sheetViews>
  <sheetFormatPr baseColWidth="10" defaultRowHeight="12.75" x14ac:dyDescent="0.2"/>
  <cols>
    <col min="1" max="1" width="25.140625" style="1" bestFit="1" customWidth="1"/>
    <col min="2" max="2" width="33.5703125" style="1" customWidth="1"/>
    <col min="3" max="3" width="19.7109375" style="3" hidden="1" customWidth="1"/>
    <col min="4" max="4" width="32.7109375" style="1" customWidth="1"/>
    <col min="5" max="5" width="13.42578125" customWidth="1"/>
    <col min="6" max="6" width="20.28515625" customWidth="1"/>
    <col min="7" max="7" width="26.42578125" bestFit="1" customWidth="1"/>
    <col min="8" max="8" width="26.7109375" customWidth="1"/>
    <col min="9" max="9" width="17" customWidth="1"/>
    <col min="10" max="10" width="15.140625" bestFit="1" customWidth="1"/>
  </cols>
  <sheetData>
    <row r="1" spans="1:170" s="8" customFormat="1" ht="65.25" customHeight="1" x14ac:dyDescent="0.2">
      <c r="A1" s="210" t="s">
        <v>102</v>
      </c>
      <c r="B1" s="210"/>
      <c r="C1" s="210"/>
      <c r="D1" s="210"/>
      <c r="E1" s="20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</row>
    <row r="2" spans="1:170" s="27" customFormat="1" ht="25.5" x14ac:dyDescent="0.2">
      <c r="A2" s="40" t="s">
        <v>45</v>
      </c>
      <c r="B2" s="66" t="s">
        <v>46</v>
      </c>
      <c r="C2" s="88" t="s">
        <v>98</v>
      </c>
      <c r="D2" s="68" t="s">
        <v>49</v>
      </c>
      <c r="E2" s="17"/>
      <c r="F2" s="291" t="s">
        <v>52</v>
      </c>
      <c r="G2" s="292"/>
      <c r="H2" s="293"/>
      <c r="I2" s="291" t="s">
        <v>56</v>
      </c>
      <c r="J2" s="293"/>
      <c r="K2" s="36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</row>
    <row r="3" spans="1:170" ht="15" customHeight="1" x14ac:dyDescent="0.2">
      <c r="A3" s="37">
        <v>40</v>
      </c>
      <c r="B3" s="72">
        <f>PARAMETROS!B9</f>
        <v>1975.5703333333333</v>
      </c>
      <c r="C3" s="73"/>
      <c r="D3" s="72">
        <f>I18</f>
        <v>611.98350000000005</v>
      </c>
      <c r="F3" s="120" t="s">
        <v>51</v>
      </c>
      <c r="G3" s="120" t="s">
        <v>62</v>
      </c>
      <c r="H3" s="120" t="s">
        <v>63</v>
      </c>
      <c r="I3" s="121" t="s">
        <v>54</v>
      </c>
      <c r="J3" s="120" t="s">
        <v>55</v>
      </c>
      <c r="K3" s="27"/>
    </row>
    <row r="4" spans="1:170" ht="15" customHeight="1" x14ac:dyDescent="0.2">
      <c r="A4" s="38">
        <v>39</v>
      </c>
      <c r="B4" s="74">
        <f>PRODUCT(B$3,A4)/A$3</f>
        <v>1926.181075</v>
      </c>
      <c r="C4" s="75">
        <f t="shared" ref="C4:C42" si="0">(A4/$A$3*7.5*5)/7*30*$C$46</f>
        <v>1062.4017857142856</v>
      </c>
      <c r="D4" s="74">
        <f>IF(B4&lt;C4,C4*$H$18%,B4*$H$18%)</f>
        <v>627.93503045</v>
      </c>
      <c r="F4" s="294">
        <v>7</v>
      </c>
      <c r="G4" s="214">
        <v>1125.9000000000001</v>
      </c>
      <c r="H4" s="214">
        <v>4139.3999999999996</v>
      </c>
      <c r="I4" s="296">
        <v>1125.9000000000001</v>
      </c>
      <c r="J4" s="296">
        <v>4139.3999999999996</v>
      </c>
      <c r="K4" s="8"/>
    </row>
    <row r="5" spans="1:170" ht="15" customHeight="1" x14ac:dyDescent="0.2">
      <c r="A5" s="38">
        <v>38</v>
      </c>
      <c r="B5" s="74">
        <f>PRODUCT(B$3,A5)/A$3</f>
        <v>1876.7918166666666</v>
      </c>
      <c r="C5" s="75">
        <f t="shared" si="0"/>
        <v>1035.1607142857144</v>
      </c>
      <c r="D5" s="74">
        <f t="shared" ref="D5:D42" si="1">IF(B5&lt;C5,C5*$H$18%,B5*$H$18%)</f>
        <v>611.83413223333332</v>
      </c>
      <c r="F5" s="295"/>
      <c r="G5" s="215"/>
      <c r="H5" s="215"/>
      <c r="I5" s="297"/>
      <c r="J5" s="297"/>
      <c r="K5" s="8"/>
    </row>
    <row r="6" spans="1:170" ht="15" customHeight="1" x14ac:dyDescent="0.2">
      <c r="A6" s="38">
        <v>37</v>
      </c>
      <c r="B6" s="74">
        <f t="shared" ref="B6:B42" si="2">PRODUCT(B$3,A6)/A$3</f>
        <v>1827.4025583333332</v>
      </c>
      <c r="C6" s="75">
        <f t="shared" si="0"/>
        <v>1007.919642857143</v>
      </c>
      <c r="D6" s="74">
        <f t="shared" si="1"/>
        <v>595.73323401666664</v>
      </c>
      <c r="F6" s="35"/>
      <c r="G6" s="8"/>
      <c r="H6" s="8"/>
      <c r="I6" s="111"/>
      <c r="J6" s="8"/>
      <c r="K6" s="8"/>
    </row>
    <row r="7" spans="1:170" ht="15" customHeight="1" thickBot="1" x14ac:dyDescent="0.25">
      <c r="A7" s="38">
        <v>36</v>
      </c>
      <c r="B7" s="74">
        <f t="shared" si="2"/>
        <v>1778.0133000000001</v>
      </c>
      <c r="C7" s="75">
        <f t="shared" si="0"/>
        <v>980.67857142857144</v>
      </c>
      <c r="D7" s="74">
        <f t="shared" si="1"/>
        <v>579.63233580000008</v>
      </c>
      <c r="F7" s="35"/>
      <c r="G7" s="19"/>
      <c r="H7" s="8"/>
      <c r="I7" s="111"/>
      <c r="J7" s="8"/>
      <c r="K7" s="8"/>
    </row>
    <row r="8" spans="1:170" ht="15" customHeight="1" x14ac:dyDescent="0.2">
      <c r="A8" s="38">
        <v>35</v>
      </c>
      <c r="B8" s="74">
        <f t="shared" si="2"/>
        <v>1728.6240416666667</v>
      </c>
      <c r="C8" s="75">
        <f t="shared" si="0"/>
        <v>953.4375</v>
      </c>
      <c r="D8" s="74">
        <f t="shared" si="1"/>
        <v>563.5314375833334</v>
      </c>
      <c r="F8" s="222" t="s">
        <v>66</v>
      </c>
      <c r="G8" s="222"/>
      <c r="H8" s="223"/>
      <c r="I8" s="220">
        <v>1877.25</v>
      </c>
      <c r="J8" s="8"/>
      <c r="K8" s="8"/>
    </row>
    <row r="9" spans="1:170" ht="15" customHeight="1" thickBot="1" x14ac:dyDescent="0.25">
      <c r="A9" s="38">
        <v>34</v>
      </c>
      <c r="B9" s="74">
        <f t="shared" si="2"/>
        <v>1679.2347833333333</v>
      </c>
      <c r="C9" s="75">
        <f t="shared" si="0"/>
        <v>926.19642857142867</v>
      </c>
      <c r="D9" s="74">
        <f t="shared" si="1"/>
        <v>547.43053936666672</v>
      </c>
      <c r="F9" s="222"/>
      <c r="G9" s="222"/>
      <c r="H9" s="223"/>
      <c r="I9" s="221"/>
      <c r="J9" s="8"/>
      <c r="K9" s="8"/>
    </row>
    <row r="10" spans="1:170" ht="15" customHeight="1" thickBot="1" x14ac:dyDescent="0.25">
      <c r="A10" s="38">
        <v>33</v>
      </c>
      <c r="B10" s="74">
        <f t="shared" si="2"/>
        <v>1629.8455250000002</v>
      </c>
      <c r="C10" s="75">
        <f t="shared" si="0"/>
        <v>898.955357142857</v>
      </c>
      <c r="D10" s="74">
        <f t="shared" si="1"/>
        <v>531.32964115000004</v>
      </c>
      <c r="F10" s="116"/>
      <c r="G10" s="117"/>
      <c r="H10" s="118"/>
      <c r="I10" s="119"/>
      <c r="J10" s="8"/>
      <c r="K10" s="8"/>
    </row>
    <row r="11" spans="1:170" ht="15" customHeight="1" x14ac:dyDescent="0.2">
      <c r="A11" s="38">
        <v>32</v>
      </c>
      <c r="B11" s="74">
        <f t="shared" si="2"/>
        <v>1580.4562666666666</v>
      </c>
      <c r="C11" s="75">
        <f t="shared" si="0"/>
        <v>871.71428571428567</v>
      </c>
      <c r="D11" s="74">
        <f t="shared" si="1"/>
        <v>515.22874293333336</v>
      </c>
      <c r="F11" s="224" t="s">
        <v>64</v>
      </c>
      <c r="G11" s="225"/>
      <c r="H11" s="225"/>
      <c r="I11" s="226"/>
      <c r="J11" s="8"/>
      <c r="K11" s="8"/>
    </row>
    <row r="12" spans="1:170" ht="15" customHeight="1" thickBot="1" x14ac:dyDescent="0.25">
      <c r="A12" s="38">
        <v>31</v>
      </c>
      <c r="B12" s="74">
        <f t="shared" si="2"/>
        <v>1531.0670083333332</v>
      </c>
      <c r="C12" s="75">
        <f t="shared" si="0"/>
        <v>844.47321428571433</v>
      </c>
      <c r="D12" s="74">
        <f t="shared" si="1"/>
        <v>499.12784471666663</v>
      </c>
      <c r="F12" s="227"/>
      <c r="G12" s="228"/>
      <c r="H12" s="228"/>
      <c r="I12" s="229"/>
      <c r="J12" s="8"/>
      <c r="K12" s="8"/>
    </row>
    <row r="13" spans="1:170" ht="15" customHeight="1" thickBot="1" x14ac:dyDescent="0.25">
      <c r="A13" s="38">
        <v>30</v>
      </c>
      <c r="B13" s="74">
        <f t="shared" si="2"/>
        <v>1481.6777500000001</v>
      </c>
      <c r="C13" s="75">
        <f t="shared" si="0"/>
        <v>817.23214285714289</v>
      </c>
      <c r="D13" s="74">
        <f t="shared" si="1"/>
        <v>483.02694650000007</v>
      </c>
      <c r="F13" s="113"/>
      <c r="G13" s="132" t="s">
        <v>57</v>
      </c>
      <c r="H13" s="130" t="s">
        <v>58</v>
      </c>
      <c r="I13" s="140" t="s">
        <v>59</v>
      </c>
      <c r="J13" s="8"/>
      <c r="K13" s="8"/>
    </row>
    <row r="14" spans="1:170" ht="15" customHeight="1" x14ac:dyDescent="0.2">
      <c r="A14" s="38">
        <v>29</v>
      </c>
      <c r="B14" s="74">
        <f t="shared" si="2"/>
        <v>1432.2884916666667</v>
      </c>
      <c r="C14" s="75">
        <f t="shared" si="0"/>
        <v>789.99107142857156</v>
      </c>
      <c r="D14" s="74">
        <f t="shared" si="1"/>
        <v>466.92604828333333</v>
      </c>
      <c r="F14" s="238" t="s">
        <v>60</v>
      </c>
      <c r="G14" s="232">
        <f>IF(I8&gt;=G4,I8,G4)</f>
        <v>1877.25</v>
      </c>
      <c r="H14" s="253">
        <v>23.6</v>
      </c>
      <c r="I14" s="236">
        <f>G14*H14%</f>
        <v>443.03100000000001</v>
      </c>
      <c r="J14" s="8"/>
      <c r="K14" s="8"/>
    </row>
    <row r="15" spans="1:170" ht="15" customHeight="1" thickBot="1" x14ac:dyDescent="0.25">
      <c r="A15" s="38">
        <v>28</v>
      </c>
      <c r="B15" s="74">
        <f t="shared" si="2"/>
        <v>1382.8992333333333</v>
      </c>
      <c r="C15" s="75">
        <f t="shared" si="0"/>
        <v>762.75</v>
      </c>
      <c r="D15" s="74">
        <f t="shared" si="1"/>
        <v>450.82515006666665</v>
      </c>
      <c r="F15" s="239"/>
      <c r="G15" s="233"/>
      <c r="H15" s="254"/>
      <c r="I15" s="255"/>
      <c r="J15" s="8"/>
      <c r="K15" s="8"/>
    </row>
    <row r="16" spans="1:170" ht="15" customHeight="1" x14ac:dyDescent="0.2">
      <c r="A16" s="38">
        <v>27</v>
      </c>
      <c r="B16" s="74">
        <f t="shared" si="2"/>
        <v>1333.5099749999999</v>
      </c>
      <c r="C16" s="75">
        <f t="shared" si="0"/>
        <v>735.50892857142856</v>
      </c>
      <c r="D16" s="74">
        <f t="shared" si="1"/>
        <v>434.72425184999997</v>
      </c>
      <c r="F16" s="238" t="s">
        <v>61</v>
      </c>
      <c r="G16" s="232">
        <f>IF(I8&gt;=I4,I8,I4)</f>
        <v>1877.25</v>
      </c>
      <c r="H16" s="253">
        <v>9</v>
      </c>
      <c r="I16" s="236">
        <f>G16*H16%</f>
        <v>168.95249999999999</v>
      </c>
      <c r="J16" s="8"/>
      <c r="K16" s="8"/>
    </row>
    <row r="17" spans="1:11" ht="15" customHeight="1" thickBot="1" x14ac:dyDescent="0.25">
      <c r="A17" s="38">
        <v>26</v>
      </c>
      <c r="B17" s="74">
        <f t="shared" si="2"/>
        <v>1284.1207166666668</v>
      </c>
      <c r="C17" s="75">
        <f t="shared" si="0"/>
        <v>708.26785714285722</v>
      </c>
      <c r="D17" s="74">
        <f t="shared" si="1"/>
        <v>418.62335363333341</v>
      </c>
      <c r="F17" s="239"/>
      <c r="G17" s="233"/>
      <c r="H17" s="254"/>
      <c r="I17" s="255"/>
      <c r="J17" s="8"/>
      <c r="K17" s="8"/>
    </row>
    <row r="18" spans="1:11" ht="15" customHeight="1" thickBot="1" x14ac:dyDescent="0.25">
      <c r="A18" s="38">
        <v>25</v>
      </c>
      <c r="B18" s="74">
        <f t="shared" si="2"/>
        <v>1234.7314583333332</v>
      </c>
      <c r="C18" s="75">
        <f t="shared" si="0"/>
        <v>681.02678571428578</v>
      </c>
      <c r="D18" s="74">
        <f t="shared" si="1"/>
        <v>402.52245541666662</v>
      </c>
      <c r="F18" s="218" t="s">
        <v>65</v>
      </c>
      <c r="G18" s="219"/>
      <c r="H18" s="131">
        <f>(H14+H16)</f>
        <v>32.6</v>
      </c>
      <c r="I18" s="126">
        <f>SUM(I14:I17)</f>
        <v>611.98350000000005</v>
      </c>
      <c r="J18" s="8"/>
      <c r="K18" s="8"/>
    </row>
    <row r="19" spans="1:11" ht="15" customHeight="1" x14ac:dyDescent="0.2">
      <c r="A19" s="38">
        <v>24</v>
      </c>
      <c r="B19" s="74">
        <f t="shared" si="2"/>
        <v>1185.3422</v>
      </c>
      <c r="C19" s="75">
        <f t="shared" si="0"/>
        <v>653.78571428571433</v>
      </c>
      <c r="D19" s="74">
        <f t="shared" si="1"/>
        <v>386.42155720000005</v>
      </c>
      <c r="F19" s="122"/>
      <c r="G19" s="123"/>
      <c r="H19" s="124"/>
      <c r="I19" s="125"/>
      <c r="J19" s="8"/>
      <c r="K19" s="8"/>
    </row>
    <row r="20" spans="1:11" ht="15" customHeight="1" x14ac:dyDescent="0.2">
      <c r="A20" s="38">
        <v>23</v>
      </c>
      <c r="B20" s="74">
        <f t="shared" si="2"/>
        <v>1135.9529416666667</v>
      </c>
      <c r="C20" s="75">
        <f t="shared" si="0"/>
        <v>626.54464285714278</v>
      </c>
      <c r="D20" s="74">
        <f t="shared" si="1"/>
        <v>370.32065898333337</v>
      </c>
      <c r="F20" s="209" t="s">
        <v>81</v>
      </c>
      <c r="G20" s="209"/>
      <c r="H20" s="209"/>
      <c r="I20" s="209"/>
      <c r="J20" s="209"/>
      <c r="K20" s="145"/>
    </row>
    <row r="21" spans="1:11" ht="15" customHeight="1" x14ac:dyDescent="0.2">
      <c r="A21" s="38">
        <v>22</v>
      </c>
      <c r="B21" s="74">
        <f t="shared" si="2"/>
        <v>1086.5636833333333</v>
      </c>
      <c r="C21" s="75">
        <f t="shared" si="0"/>
        <v>599.30357142857156</v>
      </c>
      <c r="D21" s="74">
        <f t="shared" si="1"/>
        <v>354.2197607666667</v>
      </c>
      <c r="F21" s="209"/>
      <c r="G21" s="209"/>
      <c r="H21" s="209"/>
      <c r="I21" s="209"/>
      <c r="J21" s="209"/>
      <c r="K21" s="145"/>
    </row>
    <row r="22" spans="1:11" ht="15" customHeight="1" thickBot="1" x14ac:dyDescent="0.25">
      <c r="A22" s="38">
        <v>21</v>
      </c>
      <c r="B22" s="74">
        <f t="shared" si="2"/>
        <v>1037.1744249999999</v>
      </c>
      <c r="C22" s="75">
        <f t="shared" si="0"/>
        <v>572.0625</v>
      </c>
      <c r="D22" s="74">
        <f t="shared" si="1"/>
        <v>338.11886255000002</v>
      </c>
      <c r="F22" s="35"/>
      <c r="G22" s="19"/>
      <c r="H22" s="8"/>
      <c r="I22" s="111"/>
      <c r="J22" s="8"/>
      <c r="K22" s="8"/>
    </row>
    <row r="23" spans="1:11" ht="15" customHeight="1" x14ac:dyDescent="0.2">
      <c r="A23" s="38">
        <v>20</v>
      </c>
      <c r="B23" s="74">
        <f t="shared" si="2"/>
        <v>987.78516666666678</v>
      </c>
      <c r="C23" s="75">
        <f t="shared" si="0"/>
        <v>544.82142857142856</v>
      </c>
      <c r="D23" s="74">
        <f t="shared" si="1"/>
        <v>322.0179643333334</v>
      </c>
      <c r="F23" s="222" t="s">
        <v>67</v>
      </c>
      <c r="G23" s="222"/>
      <c r="H23" s="223"/>
      <c r="I23" s="242">
        <v>0</v>
      </c>
      <c r="J23" s="8"/>
      <c r="K23" s="8"/>
    </row>
    <row r="24" spans="1:11" ht="15" customHeight="1" thickBot="1" x14ac:dyDescent="0.25">
      <c r="A24" s="38">
        <v>19</v>
      </c>
      <c r="B24" s="74">
        <f t="shared" si="2"/>
        <v>938.3959083333333</v>
      </c>
      <c r="C24" s="75">
        <f t="shared" si="0"/>
        <v>517.58035714285722</v>
      </c>
      <c r="D24" s="74">
        <f t="shared" si="1"/>
        <v>305.91706611666666</v>
      </c>
      <c r="F24" s="222"/>
      <c r="G24" s="222"/>
      <c r="H24" s="223"/>
      <c r="I24" s="243"/>
      <c r="J24" s="8"/>
      <c r="K24" s="8"/>
    </row>
    <row r="25" spans="1:11" ht="15" customHeight="1" thickBot="1" x14ac:dyDescent="0.25">
      <c r="A25" s="38">
        <v>18</v>
      </c>
      <c r="B25" s="74">
        <f t="shared" si="2"/>
        <v>889.00665000000004</v>
      </c>
      <c r="C25" s="75">
        <f t="shared" si="0"/>
        <v>490.33928571428572</v>
      </c>
      <c r="D25" s="74">
        <f t="shared" si="1"/>
        <v>289.81616790000004</v>
      </c>
      <c r="F25" s="35"/>
      <c r="G25" s="19"/>
      <c r="H25" s="8"/>
      <c r="I25" s="111"/>
      <c r="J25" s="8"/>
      <c r="K25" s="8"/>
    </row>
    <row r="26" spans="1:11" ht="15" customHeight="1" x14ac:dyDescent="0.2">
      <c r="A26" s="38">
        <v>17</v>
      </c>
      <c r="B26" s="74">
        <f t="shared" si="2"/>
        <v>839.61739166666666</v>
      </c>
      <c r="C26" s="75">
        <f t="shared" si="0"/>
        <v>463.09821428571433</v>
      </c>
      <c r="D26" s="74">
        <f t="shared" si="1"/>
        <v>273.71526968333336</v>
      </c>
      <c r="F26" s="222" t="s">
        <v>72</v>
      </c>
      <c r="G26" s="222"/>
      <c r="H26" s="223"/>
      <c r="I26" s="220">
        <v>0</v>
      </c>
      <c r="J26" s="8"/>
      <c r="K26" s="8"/>
    </row>
    <row r="27" spans="1:11" ht="15" customHeight="1" thickBot="1" x14ac:dyDescent="0.25">
      <c r="A27" s="38">
        <v>16</v>
      </c>
      <c r="B27" s="74">
        <f t="shared" si="2"/>
        <v>790.22813333333329</v>
      </c>
      <c r="C27" s="75">
        <f t="shared" si="0"/>
        <v>435.85714285714283</v>
      </c>
      <c r="D27" s="74">
        <f t="shared" si="1"/>
        <v>257.61437146666668</v>
      </c>
      <c r="F27" s="222"/>
      <c r="G27" s="222"/>
      <c r="H27" s="223"/>
      <c r="I27" s="221"/>
      <c r="J27" s="8"/>
      <c r="K27" s="8"/>
    </row>
    <row r="28" spans="1:11" ht="15" customHeight="1" thickBot="1" x14ac:dyDescent="0.25">
      <c r="A28" s="38">
        <v>15</v>
      </c>
      <c r="B28" s="74">
        <f t="shared" si="2"/>
        <v>740.83887500000003</v>
      </c>
      <c r="C28" s="75">
        <f t="shared" si="0"/>
        <v>408.61607142857144</v>
      </c>
      <c r="D28" s="74">
        <f t="shared" si="1"/>
        <v>241.51347325000003</v>
      </c>
      <c r="F28" s="35"/>
      <c r="G28" s="19"/>
      <c r="H28" s="8"/>
      <c r="I28" s="111"/>
      <c r="J28" s="8"/>
      <c r="K28" s="8"/>
    </row>
    <row r="29" spans="1:11" ht="15" customHeight="1" x14ac:dyDescent="0.2">
      <c r="A29" s="38">
        <v>14</v>
      </c>
      <c r="B29" s="74">
        <f t="shared" si="2"/>
        <v>691.44961666666666</v>
      </c>
      <c r="C29" s="75">
        <f t="shared" si="0"/>
        <v>381.375</v>
      </c>
      <c r="D29" s="74">
        <f t="shared" si="1"/>
        <v>225.41257503333333</v>
      </c>
      <c r="F29" s="224" t="s">
        <v>68</v>
      </c>
      <c r="G29" s="225"/>
      <c r="H29" s="225"/>
      <c r="I29" s="226"/>
      <c r="J29" s="8"/>
      <c r="K29" s="8"/>
    </row>
    <row r="30" spans="1:11" ht="15" customHeight="1" thickBot="1" x14ac:dyDescent="0.25">
      <c r="A30" s="38">
        <v>13</v>
      </c>
      <c r="B30" s="74">
        <f t="shared" si="2"/>
        <v>642.0603583333334</v>
      </c>
      <c r="C30" s="75">
        <f t="shared" si="0"/>
        <v>354.13392857142861</v>
      </c>
      <c r="D30" s="74">
        <f t="shared" si="1"/>
        <v>209.3116768166667</v>
      </c>
      <c r="F30" s="227"/>
      <c r="G30" s="228"/>
      <c r="H30" s="228"/>
      <c r="I30" s="229"/>
      <c r="J30" s="8"/>
      <c r="K30" s="8"/>
    </row>
    <row r="31" spans="1:11" ht="15" customHeight="1" thickBot="1" x14ac:dyDescent="0.25">
      <c r="A31" s="38">
        <v>12</v>
      </c>
      <c r="B31" s="74">
        <f t="shared" si="2"/>
        <v>592.67110000000002</v>
      </c>
      <c r="C31" s="75">
        <f t="shared" si="0"/>
        <v>326.89285714285717</v>
      </c>
      <c r="D31" s="74">
        <f t="shared" si="1"/>
        <v>193.21077860000003</v>
      </c>
      <c r="F31" s="134" t="s">
        <v>73</v>
      </c>
      <c r="G31" s="132" t="s">
        <v>57</v>
      </c>
      <c r="H31" s="130" t="s">
        <v>74</v>
      </c>
      <c r="I31" s="115" t="s">
        <v>59</v>
      </c>
      <c r="J31" s="8"/>
      <c r="K31" s="8"/>
    </row>
    <row r="32" spans="1:11" ht="15" customHeight="1" x14ac:dyDescent="0.2">
      <c r="A32" s="38">
        <v>11</v>
      </c>
      <c r="B32" s="74">
        <f t="shared" si="2"/>
        <v>543.28184166666665</v>
      </c>
      <c r="C32" s="75">
        <f t="shared" si="0"/>
        <v>299.65178571428578</v>
      </c>
      <c r="D32" s="74">
        <f t="shared" si="1"/>
        <v>177.10988038333335</v>
      </c>
      <c r="F32" s="288">
        <f>((I23/40*7.5*5)/7)*30*$C$46</f>
        <v>0</v>
      </c>
      <c r="G32" s="251">
        <f>IF(I26&lt;F32,F32,I26)</f>
        <v>0</v>
      </c>
      <c r="H32" s="253">
        <v>32.6</v>
      </c>
      <c r="I32" s="236">
        <f>G32*H32%</f>
        <v>0</v>
      </c>
      <c r="J32" s="8"/>
      <c r="K32" s="8"/>
    </row>
    <row r="33" spans="1:11" ht="15" customHeight="1" thickBot="1" x14ac:dyDescent="0.25">
      <c r="A33" s="38">
        <v>10</v>
      </c>
      <c r="B33" s="74">
        <f t="shared" si="2"/>
        <v>493.89258333333339</v>
      </c>
      <c r="C33" s="75">
        <f t="shared" si="0"/>
        <v>272.41071428571428</v>
      </c>
      <c r="D33" s="74">
        <f t="shared" si="1"/>
        <v>161.0089821666667</v>
      </c>
      <c r="F33" s="250"/>
      <c r="G33" s="252"/>
      <c r="H33" s="254"/>
      <c r="I33" s="255"/>
      <c r="J33" s="8"/>
      <c r="K33" s="8"/>
    </row>
    <row r="34" spans="1:11" ht="15" customHeight="1" thickBot="1" x14ac:dyDescent="0.25">
      <c r="A34" s="38">
        <v>9</v>
      </c>
      <c r="B34" s="74">
        <f t="shared" si="2"/>
        <v>444.50332500000002</v>
      </c>
      <c r="C34" s="75">
        <f t="shared" si="0"/>
        <v>245.16964285714286</v>
      </c>
      <c r="D34" s="74">
        <f t="shared" si="1"/>
        <v>144.90808395000002</v>
      </c>
      <c r="F34" s="244" t="s">
        <v>69</v>
      </c>
      <c r="G34" s="245"/>
      <c r="H34" s="246"/>
      <c r="I34" s="126">
        <f>SUM(I32)</f>
        <v>0</v>
      </c>
      <c r="J34" s="8"/>
      <c r="K34" s="8"/>
    </row>
    <row r="35" spans="1:11" ht="15" customHeight="1" x14ac:dyDescent="0.2">
      <c r="A35" s="38">
        <v>8</v>
      </c>
      <c r="B35" s="74">
        <f t="shared" si="2"/>
        <v>395.11406666666664</v>
      </c>
      <c r="C35" s="75">
        <f t="shared" si="0"/>
        <v>217.92857142857142</v>
      </c>
      <c r="D35" s="74">
        <f t="shared" si="1"/>
        <v>128.80718573333334</v>
      </c>
      <c r="F35" s="35"/>
      <c r="G35" s="19"/>
      <c r="H35" s="8"/>
      <c r="I35" s="111"/>
      <c r="J35" s="8"/>
      <c r="K35" s="133"/>
    </row>
    <row r="36" spans="1:11" ht="15" customHeight="1" x14ac:dyDescent="0.2">
      <c r="A36" s="38">
        <v>7</v>
      </c>
      <c r="B36" s="74">
        <f t="shared" si="2"/>
        <v>345.72480833333333</v>
      </c>
      <c r="C36" s="75">
        <f t="shared" si="0"/>
        <v>190.6875</v>
      </c>
      <c r="D36" s="74">
        <f t="shared" si="1"/>
        <v>112.70628751666666</v>
      </c>
      <c r="F36" s="266" t="s">
        <v>71</v>
      </c>
      <c r="G36" s="266"/>
      <c r="H36" s="266"/>
      <c r="I36" s="248" t="s">
        <v>70</v>
      </c>
      <c r="K36" s="133"/>
    </row>
    <row r="37" spans="1:11" ht="15" customHeight="1" x14ac:dyDescent="0.2">
      <c r="A37" s="38">
        <v>6</v>
      </c>
      <c r="B37" s="74">
        <f t="shared" si="2"/>
        <v>296.33555000000001</v>
      </c>
      <c r="C37" s="75">
        <f t="shared" si="0"/>
        <v>163.44642857142858</v>
      </c>
      <c r="D37" s="74">
        <f t="shared" si="1"/>
        <v>96.605389300000013</v>
      </c>
      <c r="F37" s="266"/>
      <c r="G37" s="266"/>
      <c r="H37" s="266"/>
      <c r="I37" s="248"/>
      <c r="K37" s="133"/>
    </row>
    <row r="38" spans="1:11" ht="15" customHeight="1" x14ac:dyDescent="0.2">
      <c r="A38" s="38">
        <v>5</v>
      </c>
      <c r="B38" s="74">
        <f t="shared" si="2"/>
        <v>246.9462916666667</v>
      </c>
      <c r="C38" s="75">
        <f t="shared" si="0"/>
        <v>136.20535714285714</v>
      </c>
      <c r="D38" s="74">
        <f t="shared" si="1"/>
        <v>80.504491083333349</v>
      </c>
    </row>
    <row r="39" spans="1:11" ht="15" customHeight="1" x14ac:dyDescent="0.2">
      <c r="A39" s="38">
        <v>4</v>
      </c>
      <c r="B39" s="74">
        <f t="shared" si="2"/>
        <v>197.55703333333332</v>
      </c>
      <c r="C39" s="75">
        <f t="shared" si="0"/>
        <v>108.96428571428571</v>
      </c>
      <c r="D39" s="74">
        <f t="shared" si="1"/>
        <v>64.403592866666671</v>
      </c>
    </row>
    <row r="40" spans="1:11" ht="15" customHeight="1" x14ac:dyDescent="0.2">
      <c r="A40" s="38">
        <v>3</v>
      </c>
      <c r="B40" s="74">
        <f t="shared" si="2"/>
        <v>148.16777500000001</v>
      </c>
      <c r="C40" s="75">
        <f t="shared" si="0"/>
        <v>81.723214285714292</v>
      </c>
      <c r="D40" s="74">
        <f t="shared" si="1"/>
        <v>48.302694650000007</v>
      </c>
    </row>
    <row r="41" spans="1:11" ht="15" customHeight="1" x14ac:dyDescent="0.2">
      <c r="A41" s="38">
        <v>2</v>
      </c>
      <c r="B41" s="74">
        <f t="shared" si="2"/>
        <v>98.778516666666661</v>
      </c>
      <c r="C41" s="75">
        <f t="shared" si="0"/>
        <v>54.482142857142854</v>
      </c>
      <c r="D41" s="74">
        <f t="shared" si="1"/>
        <v>32.201796433333335</v>
      </c>
    </row>
    <row r="42" spans="1:11" ht="15" customHeight="1" x14ac:dyDescent="0.2">
      <c r="A42" s="39">
        <v>1</v>
      </c>
      <c r="B42" s="76">
        <f t="shared" si="2"/>
        <v>49.389258333333331</v>
      </c>
      <c r="C42" s="77">
        <f t="shared" si="0"/>
        <v>27.241071428571427</v>
      </c>
      <c r="D42" s="76">
        <f t="shared" si="1"/>
        <v>16.100898216666668</v>
      </c>
    </row>
    <row r="45" spans="1:11" x14ac:dyDescent="0.2">
      <c r="C45" s="198" t="s">
        <v>99</v>
      </c>
    </row>
    <row r="46" spans="1:11" ht="33.75" hidden="1" customHeight="1" thickBot="1" x14ac:dyDescent="0.25">
      <c r="B46" s="207" t="s">
        <v>17</v>
      </c>
      <c r="C46" s="208">
        <v>6.78</v>
      </c>
    </row>
  </sheetData>
  <sheetProtection algorithmName="SHA-512" hashValue="MPgRiWuWxE9byTcQTSpXv8EPn5oQDKXnb8b4lyTiRrgPQlG7Ls55keOyZdXZ2t7tPXvtKYPuhannN7I28VmI/A==" saltValue="VDcr9xHoNK9py1oODtYOYg==" spinCount="100000" sheet="1" objects="1" scenarios="1"/>
  <protectedRanges>
    <protectedRange sqref="I36" name="CALCULO RC"/>
    <protectedRange sqref="I8" name="RET TC"/>
    <protectedRange sqref="I23" name="DED"/>
    <protectedRange sqref="I26" name="RET TP"/>
  </protectedRanges>
  <mergeCells count="33">
    <mergeCell ref="A1:D1"/>
    <mergeCell ref="F2:H2"/>
    <mergeCell ref="I2:J2"/>
    <mergeCell ref="F4:F5"/>
    <mergeCell ref="G4:G5"/>
    <mergeCell ref="H4:H5"/>
    <mergeCell ref="I4:I5"/>
    <mergeCell ref="J4:J5"/>
    <mergeCell ref="I16:I17"/>
    <mergeCell ref="F18:G18"/>
    <mergeCell ref="F8:H9"/>
    <mergeCell ref="I8:I9"/>
    <mergeCell ref="F11:I12"/>
    <mergeCell ref="F14:F15"/>
    <mergeCell ref="G14:G15"/>
    <mergeCell ref="H14:H15"/>
    <mergeCell ref="I14:I15"/>
    <mergeCell ref="I36:I37"/>
    <mergeCell ref="H16:H17"/>
    <mergeCell ref="F36:H37"/>
    <mergeCell ref="F20:J21"/>
    <mergeCell ref="F32:F33"/>
    <mergeCell ref="G32:G33"/>
    <mergeCell ref="H32:H33"/>
    <mergeCell ref="I32:I33"/>
    <mergeCell ref="F34:H34"/>
    <mergeCell ref="F23:H24"/>
    <mergeCell ref="I23:I24"/>
    <mergeCell ref="F26:H27"/>
    <mergeCell ref="I26:I27"/>
    <mergeCell ref="F29:I30"/>
    <mergeCell ref="F16:F17"/>
    <mergeCell ref="G16:G17"/>
  </mergeCells>
  <phoneticPr fontId="0" type="noConversion"/>
  <hyperlinks>
    <hyperlink ref="I36:I37" r:id="rId1" display="CALCULO RC"/>
  </hyperlinks>
  <printOptions horizontalCentered="1"/>
  <pageMargins left="1.71875" right="0.94488188976377963" top="0" bottom="0.39370078740157483" header="0" footer="0"/>
  <pageSetup paperSize="9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66"/>
  <sheetViews>
    <sheetView topLeftCell="A31" zoomScale="82" zoomScaleNormal="82" workbookViewId="0">
      <selection activeCell="G43" sqref="G43"/>
    </sheetView>
  </sheetViews>
  <sheetFormatPr baseColWidth="10" defaultRowHeight="12.75" x14ac:dyDescent="0.2"/>
  <cols>
    <col min="1" max="1" width="35.5703125" style="8" customWidth="1"/>
    <col min="2" max="3" width="18.140625" style="101" customWidth="1"/>
    <col min="4" max="4" width="23.5703125" style="8" bestFit="1" customWidth="1"/>
    <col min="5" max="5" width="36.140625" style="8" customWidth="1"/>
    <col min="6" max="6" width="11.42578125" style="8"/>
    <col min="7" max="7" width="32" style="8" bestFit="1" customWidth="1"/>
    <col min="8" max="8" width="14.42578125" style="96" bestFit="1" customWidth="1"/>
    <col min="9" max="9" width="13.140625" style="8" customWidth="1"/>
    <col min="10" max="11" width="20.85546875" style="8" bestFit="1" customWidth="1"/>
    <col min="12" max="16384" width="11.42578125" style="8"/>
  </cols>
  <sheetData>
    <row r="1" spans="1:8" s="21" customFormat="1" ht="26.25" thickBot="1" x14ac:dyDescent="0.25">
      <c r="A1" s="26" t="s">
        <v>0</v>
      </c>
      <c r="B1" s="89" t="s">
        <v>12</v>
      </c>
      <c r="C1" s="89" t="s">
        <v>10</v>
      </c>
      <c r="H1" s="91"/>
    </row>
    <row r="2" spans="1:8" ht="16.5" customHeight="1" x14ac:dyDescent="0.2">
      <c r="A2" s="11" t="s">
        <v>33</v>
      </c>
      <c r="B2" s="98">
        <f>B16</f>
        <v>2638.2726700000003</v>
      </c>
      <c r="C2" s="98">
        <f>C16</f>
        <v>3429.7546466666672</v>
      </c>
      <c r="D2" s="9"/>
      <c r="E2" s="9"/>
      <c r="G2" s="10"/>
      <c r="H2" s="92"/>
    </row>
    <row r="3" spans="1:8" ht="16.5" customHeight="1" x14ac:dyDescent="0.2">
      <c r="A3" s="11" t="s">
        <v>32</v>
      </c>
      <c r="B3" s="98">
        <f>B23</f>
        <v>2167.1531150000001</v>
      </c>
      <c r="C3" s="98">
        <f>C23</f>
        <v>2817.2980833333331</v>
      </c>
      <c r="D3" s="9"/>
      <c r="E3" s="9"/>
      <c r="G3" s="10"/>
      <c r="H3" s="92"/>
    </row>
    <row r="4" spans="1:8" ht="16.5" customHeight="1" x14ac:dyDescent="0.2">
      <c r="A4" s="11" t="s">
        <v>31</v>
      </c>
      <c r="B4" s="98">
        <f>B30</f>
        <v>0</v>
      </c>
      <c r="C4" s="98">
        <f>C30</f>
        <v>0</v>
      </c>
      <c r="D4" s="16"/>
      <c r="E4" s="16"/>
      <c r="F4" s="34"/>
    </row>
    <row r="5" spans="1:8" ht="16.5" customHeight="1" x14ac:dyDescent="0.2">
      <c r="A5" s="11" t="s">
        <v>39</v>
      </c>
      <c r="B5" s="98">
        <f>B37</f>
        <v>1601.808595</v>
      </c>
      <c r="C5" s="98">
        <f>C37</f>
        <v>2082.3509099999997</v>
      </c>
      <c r="D5" s="34"/>
      <c r="E5" s="34"/>
      <c r="F5" s="128"/>
    </row>
    <row r="6" spans="1:8" ht="16.5" customHeight="1" x14ac:dyDescent="0.2">
      <c r="A6" s="11" t="s">
        <v>40</v>
      </c>
      <c r="B6" s="98">
        <f>B44</f>
        <v>1507.5845083333336</v>
      </c>
      <c r="C6" s="98">
        <f>C44</f>
        <v>1959.8594216666665</v>
      </c>
      <c r="E6" s="34"/>
      <c r="F6" s="128"/>
    </row>
    <row r="7" spans="1:8" ht="18" customHeight="1" x14ac:dyDescent="0.2">
      <c r="A7" s="11" t="s">
        <v>41</v>
      </c>
      <c r="B7" s="98">
        <f>B51</f>
        <v>1413.3613</v>
      </c>
      <c r="C7" s="98">
        <f>C51</f>
        <v>1837.3688116666667</v>
      </c>
      <c r="E7" s="34"/>
      <c r="F7" s="128"/>
    </row>
    <row r="8" spans="1:8" ht="18.75" customHeight="1" x14ac:dyDescent="0.2">
      <c r="A8" s="11" t="s">
        <v>38</v>
      </c>
      <c r="B8" s="98">
        <f>F33</f>
        <v>2300.3236666666671</v>
      </c>
      <c r="C8" s="98"/>
      <c r="E8" s="34"/>
      <c r="F8" s="128"/>
    </row>
    <row r="9" spans="1:8" ht="19.5" customHeight="1" thickBot="1" x14ac:dyDescent="0.25">
      <c r="A9" s="22" t="s">
        <v>35</v>
      </c>
      <c r="B9" s="99">
        <f>F21</f>
        <v>1975.5703333333333</v>
      </c>
      <c r="C9" s="99"/>
      <c r="E9" s="34"/>
      <c r="F9" s="34"/>
    </row>
    <row r="10" spans="1:8" x14ac:dyDescent="0.2">
      <c r="A10" s="23"/>
      <c r="B10" s="100"/>
      <c r="C10" s="100"/>
      <c r="E10" s="34"/>
      <c r="F10" s="34"/>
    </row>
    <row r="11" spans="1:8" x14ac:dyDescent="0.2">
      <c r="E11" s="16"/>
      <c r="F11" s="16"/>
    </row>
    <row r="12" spans="1:8" ht="13.5" thickBot="1" x14ac:dyDescent="0.25">
      <c r="A12" s="14"/>
      <c r="D12" s="14"/>
      <c r="E12" s="17"/>
      <c r="F12" s="17"/>
    </row>
    <row r="13" spans="1:8" ht="26.25" thickBot="1" x14ac:dyDescent="0.25">
      <c r="A13" s="141" t="s">
        <v>33</v>
      </c>
      <c r="B13" s="142" t="s">
        <v>9</v>
      </c>
      <c r="C13" s="143" t="s">
        <v>11</v>
      </c>
      <c r="D13" s="14"/>
      <c r="E13" s="301" t="s">
        <v>29</v>
      </c>
      <c r="F13" s="302"/>
    </row>
    <row r="14" spans="1:8" ht="16.5" customHeight="1" thickTop="1" x14ac:dyDescent="0.2">
      <c r="A14" s="24" t="s">
        <v>13</v>
      </c>
      <c r="B14" s="102">
        <f>(D58)/12</f>
        <v>2553.1671000000001</v>
      </c>
      <c r="C14" s="103">
        <f>(E58)/12</f>
        <v>3319.1174000000005</v>
      </c>
      <c r="D14" s="14"/>
      <c r="E14" s="32" t="s">
        <v>1</v>
      </c>
      <c r="F14" s="93">
        <v>669.3</v>
      </c>
    </row>
    <row r="15" spans="1:8" ht="16.5" customHeight="1" x14ac:dyDescent="0.2">
      <c r="A15" s="24" t="s">
        <v>3</v>
      </c>
      <c r="B15" s="102">
        <f>B14/30*12/12</f>
        <v>85.10557</v>
      </c>
      <c r="C15" s="103">
        <f>C14/30*12/12</f>
        <v>110.63724666666668</v>
      </c>
      <c r="D15" s="14"/>
      <c r="E15" s="32" t="s">
        <v>6</v>
      </c>
      <c r="F15" s="93">
        <v>340.7</v>
      </c>
    </row>
    <row r="16" spans="1:8" ht="16.5" customHeight="1" x14ac:dyDescent="0.2">
      <c r="A16" s="25" t="s">
        <v>30</v>
      </c>
      <c r="B16" s="104">
        <f>SUM(B14:B15)</f>
        <v>2638.2726700000003</v>
      </c>
      <c r="C16" s="105">
        <f>SUM(C14:C15)</f>
        <v>3429.7546466666672</v>
      </c>
      <c r="D16" s="14"/>
      <c r="E16" s="32" t="s">
        <v>7</v>
      </c>
      <c r="F16" s="93">
        <v>627.51</v>
      </c>
    </row>
    <row r="17" spans="1:8" ht="16.5" customHeight="1" x14ac:dyDescent="0.2">
      <c r="A17" s="14"/>
      <c r="D17" s="14"/>
      <c r="E17" s="32" t="s">
        <v>3</v>
      </c>
      <c r="F17" s="93">
        <f>SUM(F14:F16)/30*12/12</f>
        <v>54.583666666666666</v>
      </c>
      <c r="G17" s="8" t="s">
        <v>18</v>
      </c>
    </row>
    <row r="18" spans="1:8" x14ac:dyDescent="0.2">
      <c r="A18" s="14"/>
      <c r="D18" s="14"/>
      <c r="E18" s="32" t="s">
        <v>42</v>
      </c>
      <c r="F18" s="93">
        <v>69.45</v>
      </c>
    </row>
    <row r="19" spans="1:8" x14ac:dyDescent="0.2">
      <c r="A19" s="14"/>
      <c r="D19" s="14"/>
      <c r="E19" s="32"/>
      <c r="F19" s="94"/>
    </row>
    <row r="20" spans="1:8" ht="26.25" thickBot="1" x14ac:dyDescent="0.25">
      <c r="A20" s="141" t="s">
        <v>32</v>
      </c>
      <c r="B20" s="142" t="s">
        <v>9</v>
      </c>
      <c r="C20" s="143" t="s">
        <v>11</v>
      </c>
      <c r="D20" s="14"/>
      <c r="E20" s="32" t="s">
        <v>2</v>
      </c>
      <c r="F20" s="93">
        <f>(663.2+F15+F16)/6</f>
        <v>271.9016666666667</v>
      </c>
    </row>
    <row r="21" spans="1:8" ht="16.5" customHeight="1" thickTop="1" thickBot="1" x14ac:dyDescent="0.25">
      <c r="A21" s="24" t="s">
        <v>13</v>
      </c>
      <c r="B21" s="102">
        <f>(D59)/12</f>
        <v>2097.2449500000002</v>
      </c>
      <c r="C21" s="103">
        <f>(E59)/12</f>
        <v>2726.4175</v>
      </c>
      <c r="D21" s="14"/>
      <c r="E21" s="15" t="s">
        <v>36</v>
      </c>
      <c r="F21" s="95">
        <f>SUM(F14:F17)+(F18/6)+F20</f>
        <v>1975.5703333333333</v>
      </c>
      <c r="G21" s="17"/>
      <c r="H21" s="97"/>
    </row>
    <row r="22" spans="1:8" ht="16.5" customHeight="1" x14ac:dyDescent="0.2">
      <c r="A22" s="24" t="s">
        <v>3</v>
      </c>
      <c r="B22" s="102">
        <f>B21/30*12/12</f>
        <v>69.908165000000011</v>
      </c>
      <c r="C22" s="103">
        <f>C21/30*12/12</f>
        <v>90.880583333333334</v>
      </c>
      <c r="D22" s="14"/>
      <c r="F22" s="96"/>
    </row>
    <row r="23" spans="1:8" ht="16.5" customHeight="1" x14ac:dyDescent="0.2">
      <c r="A23" s="25" t="s">
        <v>30</v>
      </c>
      <c r="B23" s="104">
        <f>SUM(B21:B22)</f>
        <v>2167.1531150000001</v>
      </c>
      <c r="C23" s="105">
        <f>SUM(C21:C22)</f>
        <v>2817.2980833333331</v>
      </c>
      <c r="D23" s="14"/>
      <c r="F23" s="96"/>
    </row>
    <row r="24" spans="1:8" ht="13.5" thickBot="1" x14ac:dyDescent="0.25">
      <c r="A24" s="14"/>
      <c r="D24" s="14"/>
      <c r="F24" s="96"/>
    </row>
    <row r="25" spans="1:8" ht="19.5" customHeight="1" thickBot="1" x14ac:dyDescent="0.25">
      <c r="A25" s="14"/>
      <c r="D25" s="14"/>
      <c r="E25" s="301" t="s">
        <v>28</v>
      </c>
      <c r="F25" s="302"/>
    </row>
    <row r="26" spans="1:8" x14ac:dyDescent="0.2">
      <c r="B26" s="106"/>
      <c r="C26" s="106"/>
      <c r="D26" s="18"/>
      <c r="E26" s="32" t="s">
        <v>1</v>
      </c>
      <c r="F26" s="93">
        <v>804.19</v>
      </c>
    </row>
    <row r="27" spans="1:8" ht="29.25" thickBot="1" x14ac:dyDescent="0.25">
      <c r="A27" s="144" t="s">
        <v>31</v>
      </c>
      <c r="B27" s="142" t="s">
        <v>9</v>
      </c>
      <c r="C27" s="143" t="s">
        <v>11</v>
      </c>
      <c r="D27" s="13"/>
      <c r="E27" s="32" t="s">
        <v>4</v>
      </c>
      <c r="F27" s="93">
        <v>440.97</v>
      </c>
    </row>
    <row r="28" spans="1:8" ht="16.5" customHeight="1" thickTop="1" x14ac:dyDescent="0.2">
      <c r="A28" s="24" t="s">
        <v>13</v>
      </c>
      <c r="B28" s="102">
        <f>(D60)/12</f>
        <v>0</v>
      </c>
      <c r="C28" s="103">
        <f>(E60)/12</f>
        <v>0</v>
      </c>
      <c r="D28" s="13"/>
      <c r="E28" s="32" t="s">
        <v>5</v>
      </c>
      <c r="F28" s="93">
        <v>674.45</v>
      </c>
    </row>
    <row r="29" spans="1:8" ht="16.5" customHeight="1" x14ac:dyDescent="0.2">
      <c r="A29" s="24" t="s">
        <v>3</v>
      </c>
      <c r="B29" s="102">
        <v>0</v>
      </c>
      <c r="C29" s="103">
        <v>0</v>
      </c>
      <c r="D29" s="13"/>
      <c r="E29" s="32" t="s">
        <v>3</v>
      </c>
      <c r="F29" s="93">
        <f>SUM(F26:F28)/30*12/12</f>
        <v>63.987000000000002</v>
      </c>
      <c r="G29" s="8" t="s">
        <v>18</v>
      </c>
    </row>
    <row r="30" spans="1:8" ht="16.5" customHeight="1" x14ac:dyDescent="0.2">
      <c r="A30" s="25" t="s">
        <v>30</v>
      </c>
      <c r="B30" s="104">
        <f>SUM(B28:B29)</f>
        <v>0</v>
      </c>
      <c r="C30" s="105">
        <f>SUM(C28:C29)</f>
        <v>0</v>
      </c>
      <c r="D30" s="13"/>
      <c r="E30" s="32" t="s">
        <v>42</v>
      </c>
      <c r="F30" s="93">
        <v>89.88</v>
      </c>
    </row>
    <row r="31" spans="1:8" x14ac:dyDescent="0.2">
      <c r="A31" s="17"/>
      <c r="B31" s="107"/>
      <c r="C31" s="107"/>
      <c r="D31" s="13"/>
      <c r="E31" s="32"/>
      <c r="F31" s="94"/>
    </row>
    <row r="32" spans="1:8" x14ac:dyDescent="0.2">
      <c r="A32" s="17"/>
      <c r="B32" s="107"/>
      <c r="C32" s="107"/>
      <c r="D32" s="13"/>
      <c r="E32" s="32" t="s">
        <v>2</v>
      </c>
      <c r="F32" s="93">
        <f>(695.06+F27+F28)/6</f>
        <v>301.74666666666667</v>
      </c>
    </row>
    <row r="33" spans="1:6" ht="13.5" thickBot="1" x14ac:dyDescent="0.25">
      <c r="E33" s="15" t="s">
        <v>37</v>
      </c>
      <c r="F33" s="95">
        <f>SUM(F26:F29)+(F30/6)+F32</f>
        <v>2300.3236666666671</v>
      </c>
    </row>
    <row r="34" spans="1:6" ht="26.25" thickBot="1" x14ac:dyDescent="0.25">
      <c r="A34" s="141" t="s">
        <v>39</v>
      </c>
      <c r="B34" s="142" t="s">
        <v>9</v>
      </c>
      <c r="C34" s="143" t="s">
        <v>11</v>
      </c>
      <c r="D34" s="13"/>
    </row>
    <row r="35" spans="1:6" ht="16.5" customHeight="1" thickTop="1" x14ac:dyDescent="0.2">
      <c r="A35" s="24" t="s">
        <v>13</v>
      </c>
      <c r="B35" s="102">
        <f>(D62)/12</f>
        <v>1550.13735</v>
      </c>
      <c r="C35" s="103">
        <f>(E62)/12</f>
        <v>2015.1782999999998</v>
      </c>
      <c r="D35" s="13"/>
    </row>
    <row r="36" spans="1:6" ht="16.5" customHeight="1" x14ac:dyDescent="0.2">
      <c r="A36" s="24" t="s">
        <v>3</v>
      </c>
      <c r="B36" s="102">
        <f>B35/30*12/12</f>
        <v>51.671244999999999</v>
      </c>
      <c r="C36" s="103">
        <f>C35/30*12/12</f>
        <v>67.172609999999992</v>
      </c>
      <c r="D36" s="13"/>
    </row>
    <row r="37" spans="1:6" ht="16.5" customHeight="1" x14ac:dyDescent="0.2">
      <c r="A37" s="25" t="s">
        <v>30</v>
      </c>
      <c r="B37" s="104">
        <f>SUM(B35:B36)</f>
        <v>1601.808595</v>
      </c>
      <c r="C37" s="105">
        <f>SUM(C35:C36)</f>
        <v>2082.3509099999997</v>
      </c>
      <c r="D37" s="13"/>
    </row>
    <row r="38" spans="1:6" x14ac:dyDescent="0.2">
      <c r="A38" s="17"/>
      <c r="B38" s="107"/>
      <c r="C38" s="107"/>
      <c r="D38" s="13"/>
    </row>
    <row r="39" spans="1:6" x14ac:dyDescent="0.2">
      <c r="A39" s="17"/>
      <c r="B39" s="107"/>
      <c r="C39" s="107"/>
      <c r="D39" s="13"/>
    </row>
    <row r="40" spans="1:6" x14ac:dyDescent="0.2">
      <c r="B40" s="106"/>
      <c r="C40" s="106"/>
      <c r="D40" s="13"/>
    </row>
    <row r="41" spans="1:6" ht="26.25" thickBot="1" x14ac:dyDescent="0.25">
      <c r="A41" s="141" t="s">
        <v>40</v>
      </c>
      <c r="B41" s="142" t="s">
        <v>9</v>
      </c>
      <c r="C41" s="143" t="s">
        <v>11</v>
      </c>
      <c r="D41" s="13"/>
    </row>
    <row r="42" spans="1:6" ht="16.5" customHeight="1" thickTop="1" x14ac:dyDescent="0.2">
      <c r="A42" s="24" t="s">
        <v>13</v>
      </c>
      <c r="B42" s="102">
        <f>(D63)/12</f>
        <v>1458.9527500000002</v>
      </c>
      <c r="C42" s="103">
        <f>(E63)/12</f>
        <v>1896.63815</v>
      </c>
      <c r="D42" s="13"/>
    </row>
    <row r="43" spans="1:6" ht="16.5" customHeight="1" x14ac:dyDescent="0.2">
      <c r="A43" s="24" t="s">
        <v>8</v>
      </c>
      <c r="B43" s="102">
        <f>B42/30*12/12</f>
        <v>48.631758333333345</v>
      </c>
      <c r="C43" s="103">
        <f>C42/30*12/12</f>
        <v>63.221271666666667</v>
      </c>
      <c r="D43" s="13"/>
    </row>
    <row r="44" spans="1:6" ht="16.5" customHeight="1" x14ac:dyDescent="0.2">
      <c r="A44" s="25" t="s">
        <v>30</v>
      </c>
      <c r="B44" s="104">
        <f>SUM(B42:B43)</f>
        <v>1507.5845083333336</v>
      </c>
      <c r="C44" s="105">
        <f>SUM(C42:C43)</f>
        <v>1959.8594216666665</v>
      </c>
      <c r="D44" s="13"/>
    </row>
    <row r="45" spans="1:6" x14ac:dyDescent="0.2">
      <c r="A45" s="17"/>
      <c r="B45" s="107"/>
      <c r="C45" s="107"/>
      <c r="D45" s="13"/>
    </row>
    <row r="46" spans="1:6" x14ac:dyDescent="0.2">
      <c r="A46" s="17"/>
      <c r="B46" s="107"/>
      <c r="C46" s="107"/>
      <c r="D46" s="13"/>
    </row>
    <row r="47" spans="1:6" x14ac:dyDescent="0.2">
      <c r="A47" s="12"/>
      <c r="B47" s="90"/>
      <c r="C47" s="90"/>
      <c r="D47" s="13"/>
    </row>
    <row r="48" spans="1:6" ht="26.25" thickBot="1" x14ac:dyDescent="0.25">
      <c r="A48" s="141" t="s">
        <v>41</v>
      </c>
      <c r="B48" s="142" t="s">
        <v>9</v>
      </c>
      <c r="C48" s="143" t="s">
        <v>11</v>
      </c>
      <c r="D48" s="13"/>
    </row>
    <row r="49" spans="1:11" ht="16.5" customHeight="1" thickTop="1" x14ac:dyDescent="0.2">
      <c r="A49" s="24" t="s">
        <v>13</v>
      </c>
      <c r="B49" s="102">
        <f>(D64)/12</f>
        <v>1367.769</v>
      </c>
      <c r="C49" s="103">
        <f>(E64)/12</f>
        <v>1778.0988500000001</v>
      </c>
    </row>
    <row r="50" spans="1:11" ht="16.5" customHeight="1" x14ac:dyDescent="0.2">
      <c r="A50" s="24" t="s">
        <v>3</v>
      </c>
      <c r="B50" s="102">
        <f>B49/30*12/12</f>
        <v>45.592300000000002</v>
      </c>
      <c r="C50" s="103">
        <f>C49/30*12/12</f>
        <v>59.269961666666667</v>
      </c>
      <c r="D50" s="19"/>
    </row>
    <row r="51" spans="1:11" ht="16.5" customHeight="1" x14ac:dyDescent="0.2">
      <c r="A51" s="25" t="s">
        <v>30</v>
      </c>
      <c r="B51" s="104">
        <f>SUM(B49:B50)</f>
        <v>1413.3613</v>
      </c>
      <c r="C51" s="105">
        <f>SUM(C49:C50)</f>
        <v>1837.3688116666667</v>
      </c>
      <c r="D51" s="20"/>
    </row>
    <row r="52" spans="1:11" x14ac:dyDescent="0.2">
      <c r="D52" s="18"/>
    </row>
    <row r="54" spans="1:11" ht="13.5" thickBot="1" x14ac:dyDescent="0.25"/>
    <row r="55" spans="1:11" ht="12.75" customHeight="1" x14ac:dyDescent="0.2">
      <c r="A55" s="303" t="s">
        <v>101</v>
      </c>
      <c r="B55" s="303"/>
      <c r="C55" s="305"/>
      <c r="D55" s="28" t="s">
        <v>19</v>
      </c>
      <c r="E55" s="28" t="s">
        <v>19</v>
      </c>
      <c r="G55" s="303" t="s">
        <v>95</v>
      </c>
      <c r="H55" s="303"/>
      <c r="I55" s="316"/>
      <c r="J55" s="109" t="s">
        <v>19</v>
      </c>
      <c r="K55" s="109" t="s">
        <v>19</v>
      </c>
    </row>
    <row r="56" spans="1:11" ht="13.5" thickBot="1" x14ac:dyDescent="0.25">
      <c r="A56" s="304"/>
      <c r="B56" s="304"/>
      <c r="C56" s="306"/>
      <c r="D56" s="29" t="s">
        <v>20</v>
      </c>
      <c r="E56" s="29" t="s">
        <v>21</v>
      </c>
      <c r="G56" s="304"/>
      <c r="H56" s="304"/>
      <c r="I56" s="317"/>
      <c r="J56" s="110" t="s">
        <v>20</v>
      </c>
      <c r="K56" s="110" t="s">
        <v>21</v>
      </c>
    </row>
    <row r="57" spans="1:11" ht="15" thickBot="1" x14ac:dyDescent="0.25">
      <c r="A57" s="307" t="s">
        <v>22</v>
      </c>
      <c r="B57" s="308"/>
      <c r="C57" s="308"/>
      <c r="D57" s="308"/>
      <c r="E57" s="309"/>
      <c r="G57" s="307" t="s">
        <v>22</v>
      </c>
      <c r="H57" s="308"/>
      <c r="I57" s="308"/>
      <c r="J57" s="308"/>
      <c r="K57" s="309"/>
    </row>
    <row r="58" spans="1:11" ht="18" customHeight="1" x14ac:dyDescent="0.2">
      <c r="A58" s="300"/>
      <c r="B58" s="298" t="s">
        <v>43</v>
      </c>
      <c r="C58" s="299"/>
      <c r="D58" s="193">
        <f>2%*J58+J58</f>
        <v>30638.0052</v>
      </c>
      <c r="E58" s="193">
        <f>2%*K58+K58</f>
        <v>39829.408800000005</v>
      </c>
      <c r="G58" s="318"/>
      <c r="H58" s="298" t="s">
        <v>43</v>
      </c>
      <c r="I58" s="299"/>
      <c r="J58" s="193">
        <v>30037.26</v>
      </c>
      <c r="K58" s="193">
        <v>39048.44</v>
      </c>
    </row>
    <row r="59" spans="1:11" ht="18" customHeight="1" x14ac:dyDescent="0.2">
      <c r="A59" s="300"/>
      <c r="B59" s="298" t="s">
        <v>44</v>
      </c>
      <c r="C59" s="299"/>
      <c r="D59" s="193">
        <f>2%*J59+J59</f>
        <v>25166.939400000003</v>
      </c>
      <c r="E59" s="193">
        <f>2%*K59+K59</f>
        <v>32717.01</v>
      </c>
      <c r="G59" s="318"/>
      <c r="H59" s="298" t="s">
        <v>44</v>
      </c>
      <c r="I59" s="299"/>
      <c r="J59" s="193">
        <v>24673.47</v>
      </c>
      <c r="K59" s="193">
        <v>32075.5</v>
      </c>
    </row>
    <row r="60" spans="1:11" ht="18" customHeight="1" thickBot="1" x14ac:dyDescent="0.25">
      <c r="A60" s="300"/>
      <c r="B60" s="298" t="s">
        <v>23</v>
      </c>
      <c r="C60" s="299"/>
      <c r="D60" s="194"/>
      <c r="E60" s="193"/>
      <c r="G60" s="318"/>
      <c r="H60" s="298" t="s">
        <v>23</v>
      </c>
      <c r="I60" s="299"/>
      <c r="J60" s="193"/>
      <c r="K60" s="193"/>
    </row>
    <row r="61" spans="1:11" ht="15" thickBot="1" x14ac:dyDescent="0.25">
      <c r="A61" s="307" t="s">
        <v>24</v>
      </c>
      <c r="B61" s="308"/>
      <c r="C61" s="308"/>
      <c r="D61" s="310"/>
      <c r="E61" s="309"/>
      <c r="G61" s="307" t="s">
        <v>24</v>
      </c>
      <c r="H61" s="308"/>
      <c r="I61" s="308"/>
      <c r="J61" s="308"/>
      <c r="K61" s="309"/>
    </row>
    <row r="62" spans="1:11" ht="18" customHeight="1" x14ac:dyDescent="0.2">
      <c r="A62" s="300"/>
      <c r="B62" s="312" t="s">
        <v>25</v>
      </c>
      <c r="C62" s="312"/>
      <c r="D62" s="195">
        <f t="shared" ref="D62:E64" si="0">2%*J62+J62</f>
        <v>18601.6482</v>
      </c>
      <c r="E62" s="195">
        <f t="shared" si="0"/>
        <v>24182.139599999999</v>
      </c>
      <c r="G62" s="319"/>
      <c r="H62" s="312" t="s">
        <v>25</v>
      </c>
      <c r="I62" s="312"/>
      <c r="J62" s="195">
        <v>18236.91</v>
      </c>
      <c r="K62" s="195">
        <v>23707.98</v>
      </c>
    </row>
    <row r="63" spans="1:11" ht="18" customHeight="1" x14ac:dyDescent="0.2">
      <c r="A63" s="300"/>
      <c r="B63" s="313" t="s">
        <v>26</v>
      </c>
      <c r="C63" s="313"/>
      <c r="D63" s="196">
        <f t="shared" si="0"/>
        <v>17507.433000000001</v>
      </c>
      <c r="E63" s="196">
        <f t="shared" si="0"/>
        <v>22759.657800000001</v>
      </c>
      <c r="G63" s="319"/>
      <c r="H63" s="313" t="s">
        <v>26</v>
      </c>
      <c r="I63" s="313"/>
      <c r="J63" s="197">
        <v>17164.150000000001</v>
      </c>
      <c r="K63" s="197">
        <v>22313.39</v>
      </c>
    </row>
    <row r="64" spans="1:11" ht="18" customHeight="1" x14ac:dyDescent="0.2">
      <c r="A64" s="300"/>
      <c r="B64" s="314" t="s">
        <v>27</v>
      </c>
      <c r="C64" s="314"/>
      <c r="D64" s="196">
        <f t="shared" si="0"/>
        <v>16413.227999999999</v>
      </c>
      <c r="E64" s="196">
        <f t="shared" si="0"/>
        <v>21337.1862</v>
      </c>
      <c r="G64" s="319"/>
      <c r="H64" s="314" t="s">
        <v>27</v>
      </c>
      <c r="I64" s="314"/>
      <c r="J64" s="196">
        <v>16091.4</v>
      </c>
      <c r="K64" s="196">
        <v>20918.810000000001</v>
      </c>
    </row>
    <row r="65" spans="1:11" ht="21" customHeight="1" x14ac:dyDescent="0.2">
      <c r="A65" s="300"/>
      <c r="B65" s="314" t="s">
        <v>28</v>
      </c>
      <c r="C65" s="314"/>
      <c r="D65" s="30"/>
      <c r="E65" s="30"/>
      <c r="G65" s="319"/>
      <c r="H65" s="314" t="s">
        <v>28</v>
      </c>
      <c r="I65" s="314"/>
      <c r="J65" s="30"/>
      <c r="K65" s="30"/>
    </row>
    <row r="66" spans="1:11" ht="18" customHeight="1" thickBot="1" x14ac:dyDescent="0.25">
      <c r="A66" s="311"/>
      <c r="B66" s="315" t="s">
        <v>29</v>
      </c>
      <c r="C66" s="315"/>
      <c r="D66" s="31"/>
      <c r="E66" s="31"/>
      <c r="G66" s="320"/>
      <c r="H66" s="315" t="s">
        <v>29</v>
      </c>
      <c r="I66" s="315"/>
      <c r="J66" s="31"/>
      <c r="K66" s="31"/>
    </row>
  </sheetData>
  <mergeCells count="30">
    <mergeCell ref="G61:K61"/>
    <mergeCell ref="G62:G66"/>
    <mergeCell ref="H62:I62"/>
    <mergeCell ref="H63:I63"/>
    <mergeCell ref="H64:I64"/>
    <mergeCell ref="H65:I65"/>
    <mergeCell ref="H66:I66"/>
    <mergeCell ref="I55:I56"/>
    <mergeCell ref="G57:K57"/>
    <mergeCell ref="G58:G60"/>
    <mergeCell ref="H58:I58"/>
    <mergeCell ref="H59:I59"/>
    <mergeCell ref="H60:I60"/>
    <mergeCell ref="G55:H56"/>
    <mergeCell ref="A61:E61"/>
    <mergeCell ref="A62:A66"/>
    <mergeCell ref="B62:C62"/>
    <mergeCell ref="B63:C63"/>
    <mergeCell ref="B64:C64"/>
    <mergeCell ref="B65:C65"/>
    <mergeCell ref="B66:C66"/>
    <mergeCell ref="B60:C60"/>
    <mergeCell ref="B59:C59"/>
    <mergeCell ref="B58:C58"/>
    <mergeCell ref="A58:A60"/>
    <mergeCell ref="E13:F13"/>
    <mergeCell ref="A55:B56"/>
    <mergeCell ref="C55:C56"/>
    <mergeCell ref="A57:E57"/>
    <mergeCell ref="E25:F25"/>
  </mergeCells>
  <phoneticPr fontId="0" type="noConversion"/>
  <pageMargins left="0.74803149606299213" right="0.31496062992125984" top="0.98425196850393704" bottom="0.9842519685039370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14</vt:i4>
      </vt:variant>
    </vt:vector>
  </HeadingPairs>
  <TitlesOfParts>
    <vt:vector size="23" baseType="lpstr">
      <vt:lpstr>INVESTIGADOR SENIOR</vt:lpstr>
      <vt:lpstr>INVESTIGADOR JUNIOR</vt:lpstr>
      <vt:lpstr>INVEST.EN FORMACIÓN-PRÁCTICAS</vt:lpstr>
      <vt:lpstr>TITULADOS SUPERIORES I</vt:lpstr>
      <vt:lpstr>TITULADOS SUPERIORES II</vt:lpstr>
      <vt:lpstr>TITULADOS DE GRADO MEDIO</vt:lpstr>
      <vt:lpstr>ESPECIALISTAS TECNICOS</vt:lpstr>
      <vt:lpstr>AUXILIARES</vt:lpstr>
      <vt:lpstr>PARAMETROS</vt:lpstr>
      <vt:lpstr>AUXILIARES!Área_de_impresión</vt:lpstr>
      <vt:lpstr>'INVEST.EN FORMACIÓN-PRÁCTICAS'!Área_de_impresión</vt:lpstr>
      <vt:lpstr>'INVESTIGADOR JUNIOR'!Área_de_impresión</vt:lpstr>
      <vt:lpstr>'INVESTIGADOR SENIOR'!Área_de_impresión</vt:lpstr>
      <vt:lpstr>'TITULADOS DE GRADO MEDIO'!Área_de_impresión</vt:lpstr>
      <vt:lpstr>'TITULADOS SUPERIORES I'!Área_de_impresión</vt:lpstr>
      <vt:lpstr>'TITULADOS SUPERIORES II'!Área_de_impresión</vt:lpstr>
      <vt:lpstr>AUXILIARES!Títulos_a_imprimir</vt:lpstr>
      <vt:lpstr>'INVEST.EN FORMACIÓN-PRÁCTICAS'!Títulos_a_imprimir</vt:lpstr>
      <vt:lpstr>'INVESTIGADOR JUNIOR'!Títulos_a_imprimir</vt:lpstr>
      <vt:lpstr>'INVESTIGADOR SENIOR'!Títulos_a_imprimir</vt:lpstr>
      <vt:lpstr>'TITULADOS DE GRADO MEDIO'!Títulos_a_imprimir</vt:lpstr>
      <vt:lpstr>'TITULADOS SUPERIORES I'!Títulos_a_imprimir</vt:lpstr>
      <vt:lpstr>'TITULADOS SUPERIORES II'!Títulos_a_imprimir</vt:lpstr>
    </vt:vector>
  </TitlesOfParts>
  <Company>oscar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gcremades@umh.es</dc:creator>
  <cp:lastModifiedBy>Carrasquilla Fernandez, Cristina Isabel</cp:lastModifiedBy>
  <cp:lastPrinted>2017-08-03T06:47:25Z</cp:lastPrinted>
  <dcterms:created xsi:type="dcterms:W3CDTF">2003-11-11T19:24:53Z</dcterms:created>
  <dcterms:modified xsi:type="dcterms:W3CDTF">2022-02-23T12:46:00Z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1648575215</vt:i4>
  </property>
  <property fmtid="{D5CDD505-2E9C-101B-9397-08002B2CF9AE}" pid="3" name="_EmailSubject">
    <vt:lpwstr/>
  </property>
  <property fmtid="{D5CDD505-2E9C-101B-9397-08002B2CF9AE}" pid="4" name="_AuthorEmail">
    <vt:lpwstr>cristina.aguilar@umh.es</vt:lpwstr>
  </property>
  <property fmtid="{D5CDD505-2E9C-101B-9397-08002B2CF9AE}" pid="5" name="_AuthorEmailDisplayName">
    <vt:lpwstr>Aguilar Santos, Cristina</vt:lpwstr>
  </property>
  <property fmtid="{D5CDD505-2E9C-101B-9397-08002B2CF9AE}" pid="6" name="_PreviousAdHocReviewCycleID">
    <vt:i4>-1341627671</vt:i4>
  </property>
  <property fmtid="{D5CDD505-2E9C-101B-9397-08002B2CF9AE}" pid="7" name="_ReviewingToolsShownOnce">
    <vt:lpwstr/>
  </property>
</Properties>
</file>